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Household Hazardous Waste\CF-JK Shared Files\HHW Roundtable and MEHA\"/>
    </mc:Choice>
  </mc:AlternateContent>
  <bookViews>
    <workbookView xWindow="120" yWindow="165" windowWidth="22620" windowHeight="97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W21" i="1" l="1"/>
  <c r="F18" i="1"/>
  <c r="U17" i="1" l="1"/>
  <c r="U16" i="1"/>
  <c r="U15" i="1"/>
  <c r="U14" i="1"/>
  <c r="U13" i="1"/>
  <c r="U12" i="1"/>
  <c r="U11" i="1"/>
  <c r="U10" i="1"/>
  <c r="U9" i="1"/>
  <c r="U8" i="1"/>
  <c r="U7" i="1"/>
  <c r="G19" i="1"/>
  <c r="U19" i="1" s="1"/>
  <c r="G18" i="1"/>
  <c r="U18" i="1" s="1"/>
  <c r="S19" i="1"/>
  <c r="F19" i="1"/>
  <c r="S13" i="1" l="1"/>
  <c r="S10" i="1"/>
  <c r="S16" i="1"/>
  <c r="S15" i="1"/>
  <c r="S14" i="1"/>
  <c r="S12" i="1"/>
  <c r="S11" i="1"/>
  <c r="S9" i="1"/>
  <c r="S8" i="1"/>
  <c r="S17" i="1"/>
  <c r="S18" i="1"/>
  <c r="V17" i="1" l="1"/>
  <c r="V14" i="1"/>
  <c r="V15" i="1"/>
  <c r="G17" i="1" l="1"/>
  <c r="F17" i="1"/>
  <c r="C17" i="1"/>
  <c r="B17" i="1"/>
  <c r="E17" i="1" l="1"/>
  <c r="D17" i="1"/>
  <c r="V16" i="1" l="1"/>
  <c r="G16" i="1" l="1"/>
  <c r="E16" i="1"/>
  <c r="F16" i="1" l="1"/>
  <c r="R15" i="1" l="1"/>
  <c r="R14" i="1"/>
  <c r="G15" i="1" l="1"/>
  <c r="F15" i="1"/>
  <c r="V13" i="1" l="1"/>
  <c r="V12" i="1"/>
  <c r="V11" i="1"/>
  <c r="V10" i="1"/>
  <c r="V21" i="1" l="1"/>
  <c r="Q15" i="1"/>
  <c r="T21" i="1" l="1"/>
  <c r="G14" i="1" l="1"/>
  <c r="F14" i="1"/>
  <c r="R21" i="1" l="1"/>
  <c r="R23" i="1" s="1"/>
  <c r="Q14" i="1" l="1"/>
  <c r="F13" i="1" l="1"/>
  <c r="S7" i="1" l="1"/>
  <c r="Q13" i="1"/>
  <c r="Q21" i="1" l="1"/>
  <c r="E13" i="1"/>
  <c r="G13" i="1" s="1"/>
  <c r="G12" i="1" l="1"/>
  <c r="F12" i="1"/>
  <c r="M21" i="1" l="1"/>
  <c r="L21" i="1"/>
  <c r="O21" i="1"/>
  <c r="P11" i="1"/>
  <c r="P10" i="1"/>
  <c r="P21" i="1" s="1"/>
  <c r="N11" i="1"/>
  <c r="N10" i="1"/>
  <c r="N21" i="1" s="1"/>
  <c r="K21" i="1"/>
  <c r="J21" i="1"/>
  <c r="H21" i="1"/>
  <c r="I21" i="1"/>
  <c r="B21" i="1"/>
  <c r="C21" i="1"/>
  <c r="E11" i="1"/>
  <c r="G11" i="1" s="1"/>
  <c r="D11" i="1"/>
  <c r="F11" i="1" s="1"/>
  <c r="G9" i="1"/>
  <c r="F9" i="1"/>
  <c r="G8" i="1"/>
  <c r="F8" i="1"/>
  <c r="E10" i="1"/>
  <c r="E21" i="1" s="1"/>
  <c r="D10" i="1"/>
  <c r="F10" i="1" s="1"/>
  <c r="G7" i="1"/>
  <c r="F7" i="1"/>
  <c r="G10" i="1"/>
  <c r="D21" i="1" l="1"/>
  <c r="F21" i="1"/>
  <c r="G21" i="1"/>
  <c r="U21" i="1"/>
  <c r="S21" i="1"/>
</calcChain>
</file>

<file path=xl/sharedStrings.xml><?xml version="1.0" encoding="utf-8"?>
<sst xmlns="http://schemas.openxmlformats.org/spreadsheetml/2006/main" count="78" uniqueCount="56">
  <si>
    <t>Washtenaw County Home Toxics Reduction Combined Report for 2016</t>
  </si>
  <si>
    <t>Month</t>
  </si>
  <si>
    <t>January</t>
  </si>
  <si>
    <t>February</t>
  </si>
  <si>
    <t xml:space="preserve">March 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</si>
  <si>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</si>
  <si>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</si>
  <si>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</si>
  <si>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</si>
  <si>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</si>
  <si>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</si>
  <si>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</si>
  <si>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</si>
  <si>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</si>
  <si>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</si>
  <si>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Counts</t>
  </si>
  <si>
    <t>Appt</t>
  </si>
  <si>
    <t>In-house</t>
  </si>
  <si>
    <t>M:\PROGRAMS AND DIVISIONS\PUBLIC WORKS\SOLID WASTE\HOME TOXICS PROGRAM (HHW)\Annual Reports\2016\combined report</t>
  </si>
  <si>
    <t>diversion</t>
  </si>
  <si>
    <t>US</t>
  </si>
  <si>
    <t>Ecology</t>
  </si>
  <si>
    <t>Auto</t>
  </si>
  <si>
    <t>Battery</t>
  </si>
  <si>
    <t>Weights</t>
  </si>
  <si>
    <t>Veg</t>
  </si>
  <si>
    <t>Oil</t>
  </si>
  <si>
    <t>Motor</t>
  </si>
  <si>
    <t xml:space="preserve">Oil </t>
  </si>
  <si>
    <t>Anti-</t>
  </si>
  <si>
    <t>Freeze</t>
  </si>
  <si>
    <t>Counts - #</t>
  </si>
  <si>
    <t>Weights - #</t>
  </si>
  <si>
    <t>Gas</t>
  </si>
  <si>
    <t>Cylinders</t>
  </si>
  <si>
    <t>Revenue</t>
  </si>
  <si>
    <t>Rippling</t>
  </si>
  <si>
    <t xml:space="preserve">Hope </t>
  </si>
  <si>
    <t># - Drop-off counts, weights and donation revenue DO NOT include data from community clean-up days.</t>
  </si>
  <si>
    <t>Revenue - #</t>
  </si>
  <si>
    <t>(paint) ##</t>
  </si>
  <si>
    <t>Clean Sweep</t>
  </si>
  <si>
    <t xml:space="preserve">Reimbursement </t>
  </si>
  <si>
    <t xml:space="preserve">Grant </t>
  </si>
  <si>
    <t xml:space="preserve">! - Includes incidental scrap steel </t>
  </si>
  <si>
    <t>Revenue - !</t>
  </si>
  <si>
    <t>Weights - !</t>
  </si>
  <si>
    <t>Off Sets To</t>
  </si>
  <si>
    <t>Expenses - !!</t>
  </si>
  <si>
    <t>Savings to Rippling Hope:</t>
  </si>
  <si>
    <t>Weekday</t>
  </si>
  <si>
    <t>Saturday</t>
  </si>
  <si>
    <t>Drop-off</t>
  </si>
  <si>
    <t>## - Every pound of paint given to Rippling Hope saves them $2.00 over the discount purchase price they are offered at local retailers, based on an average of 10 pounds per gallon.</t>
  </si>
  <si>
    <t>!! - Offsets include but are not limited to: 1) avoided disposal costs through in-house diversions and using alternative methods for disposal of gas cylinders and other items, and paint donated to Rippling Hope, and 2) donations from sources other than HHW participants</t>
  </si>
  <si>
    <t>CCDs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</si>
</sst>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b/>
      <sz val="9"/>
      <color rgb="FFFF0000"/>
      <name val="Cambria"/>
      <family val="1"/>
      <scheme val="major"/>
    </font>
    <font>
      <b/>
      <sz val="9"/>
      <color rgb="FF0070C0"/>
      <name val="Cambria"/>
      <family val="1"/>
      <scheme val="major"/>
    </font>
    <font>
      <b/>
      <sz val="8.5"/>
      <color rgb="FFFF0000"/>
      <name val="Cambria"/>
      <family val="1"/>
      <scheme val="major"/>
    </font>
    <font>
      <b/>
      <sz val="9"/>
      <color rgb="FF00B05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44" fontId="2" fillId="0" borderId="0" xfId="0" applyNumberFormat="1" applyFont="1" applyAlignment="1">
      <alignment horizontal="center"/>
    </xf>
    <xf numFmtId="7" fontId="2" fillId="0" borderId="0" xfId="1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2" fillId="0" borderId="0" xfId="2" applyNumberFormat="1" applyFont="1" applyAlignment="1">
      <alignment horizontal="center"/>
    </xf>
    <xf numFmtId="7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44" fontId="2" fillId="0" borderId="0" xfId="0" applyNumberFormat="1" applyFont="1"/>
    <xf numFmtId="164" fontId="2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5" fontId="6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37" fontId="6" fillId="0" borderId="0" xfId="2" applyNumberFormat="1" applyFont="1" applyAlignment="1">
      <alignment horizontal="center"/>
    </xf>
    <xf numFmtId="164" fontId="6" fillId="0" borderId="0" xfId="2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44" fontId="6" fillId="0" borderId="0" xfId="1" applyFont="1" applyAlignment="1">
      <alignment horizontal="center"/>
    </xf>
    <xf numFmtId="0" fontId="6" fillId="0" borderId="0" xfId="0" applyFont="1" applyAlignment="1"/>
    <xf numFmtId="166" fontId="6" fillId="0" borderId="0" xfId="0" applyNumberFormat="1" applyFont="1" applyAlignment="1">
      <alignment horizontal="center"/>
    </xf>
    <xf numFmtId="0" fontId="3" fillId="0" borderId="0" xfId="0" applyFont="1"/>
    <xf numFmtId="44" fontId="3" fillId="0" borderId="0" xfId="1" applyFont="1" applyAlignment="1">
      <alignment horizontal="center"/>
    </xf>
    <xf numFmtId="0" fontId="3" fillId="0" borderId="0" xfId="0" applyFont="1" applyAlignment="1"/>
    <xf numFmtId="165" fontId="3" fillId="0" borderId="0" xfId="2" applyNumberFormat="1" applyFont="1" applyAlignment="1">
      <alignment horizontal="center"/>
    </xf>
    <xf numFmtId="7" fontId="6" fillId="0" borderId="0" xfId="0" applyNumberFormat="1" applyFo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"/>
  <sheetViews>
    <sheetView tabSelected="1" zoomScale="110" zoomScaleNormal="110" workbookViewId="0">
      <selection activeCell="W21" sqref="W21"/>
    </sheetView>
  </sheetViews>
  <sheetFormatPr defaultRowHeight="12" x14ac:dyDescent="0.2"/>
  <cols>
    <col min="1" max="1" width="9.140625" style="1"/>
    <col min="2" max="2" width="6.140625" style="2" customWidth="1"/>
    <col min="3" max="3" width="10" style="3" customWidth="1"/>
    <col min="4" max="4" width="7.85546875" style="2" customWidth="1"/>
    <col min="5" max="5" width="9.85546875" style="3" customWidth="1"/>
    <col min="6" max="6" width="7.5703125" style="2" customWidth="1"/>
    <col min="7" max="7" width="11.85546875" style="3" customWidth="1"/>
    <col min="8" max="8" width="8.42578125" style="2" customWidth="1"/>
    <col min="9" max="9" width="9.140625" style="2"/>
    <col min="10" max="10" width="8.7109375" style="2" customWidth="1"/>
    <col min="11" max="11" width="9.140625" style="1"/>
    <col min="12" max="12" width="8" style="4" customWidth="1"/>
    <col min="13" max="13" width="9.140625" style="2" customWidth="1"/>
    <col min="14" max="14" width="8.7109375" style="2" customWidth="1"/>
    <col min="15" max="15" width="9.140625" style="1"/>
    <col min="16" max="17" width="8" style="2" customWidth="1"/>
    <col min="18" max="18" width="9.42578125" style="19" customWidth="1"/>
    <col min="19" max="19" width="8.5703125" style="2" customWidth="1"/>
    <col min="20" max="20" width="13.5703125" style="2" customWidth="1"/>
    <col min="21" max="21" width="10.85546875" style="2" customWidth="1"/>
    <col min="22" max="22" width="9.140625" style="16"/>
    <col min="23" max="23" width="11.140625" style="1" customWidth="1"/>
    <col min="24" max="16384" width="9.140625" style="1"/>
  </cols>
  <sheetData>
    <row r="1" spans="1:22" x14ac:dyDescent="0.2">
      <c r="A1" s="1" t="s">
        <v>0</v>
      </c>
    </row>
    <row r="3" spans="1:22" x14ac:dyDescent="0.2">
      <c r="B3" s="2" t="s">
        <v>50</v>
      </c>
      <c r="D3" s="2" t="s">
        <v>51</v>
      </c>
      <c r="E3" s="2"/>
      <c r="H3" s="2" t="s">
        <v>20</v>
      </c>
      <c r="I3" s="2" t="s">
        <v>17</v>
      </c>
      <c r="J3" s="2" t="s">
        <v>22</v>
      </c>
      <c r="K3" s="2" t="s">
        <v>22</v>
      </c>
      <c r="L3" s="2" t="s">
        <v>25</v>
      </c>
      <c r="M3" s="2" t="s">
        <v>25</v>
      </c>
      <c r="N3" s="2" t="s">
        <v>27</v>
      </c>
      <c r="O3" s="2" t="s">
        <v>27</v>
      </c>
      <c r="P3" s="2" t="s">
        <v>29</v>
      </c>
      <c r="Q3" s="2" t="s">
        <v>33</v>
      </c>
      <c r="R3" s="19" t="s">
        <v>36</v>
      </c>
      <c r="T3" s="15" t="s">
        <v>41</v>
      </c>
    </row>
    <row r="4" spans="1:22" x14ac:dyDescent="0.2">
      <c r="B4" s="2" t="s">
        <v>16</v>
      </c>
      <c r="C4" s="3" t="s">
        <v>16</v>
      </c>
      <c r="D4" s="2" t="s">
        <v>52</v>
      </c>
      <c r="E4" s="2" t="s">
        <v>52</v>
      </c>
      <c r="F4" s="2" t="s">
        <v>14</v>
      </c>
      <c r="G4" s="3" t="s">
        <v>14</v>
      </c>
      <c r="H4" s="2" t="s">
        <v>21</v>
      </c>
      <c r="I4" s="2" t="s">
        <v>19</v>
      </c>
      <c r="J4" s="2" t="s">
        <v>23</v>
      </c>
      <c r="K4" s="2" t="s">
        <v>23</v>
      </c>
      <c r="L4" s="2" t="s">
        <v>26</v>
      </c>
      <c r="M4" s="2" t="s">
        <v>26</v>
      </c>
      <c r="N4" s="2" t="s">
        <v>28</v>
      </c>
      <c r="O4" s="2" t="s">
        <v>28</v>
      </c>
      <c r="P4" s="2" t="s">
        <v>30</v>
      </c>
      <c r="Q4" s="2" t="s">
        <v>34</v>
      </c>
      <c r="R4" s="19" t="s">
        <v>37</v>
      </c>
      <c r="S4" s="5" t="s">
        <v>14</v>
      </c>
      <c r="T4" s="15" t="s">
        <v>43</v>
      </c>
      <c r="U4" s="5" t="s">
        <v>14</v>
      </c>
      <c r="V4" s="17" t="s">
        <v>47</v>
      </c>
    </row>
    <row r="5" spans="1:22" x14ac:dyDescent="0.2">
      <c r="A5" s="1" t="s">
        <v>1</v>
      </c>
      <c r="B5" s="2" t="s">
        <v>15</v>
      </c>
      <c r="C5" s="3" t="s">
        <v>35</v>
      </c>
      <c r="D5" s="2" t="s">
        <v>31</v>
      </c>
      <c r="E5" s="3" t="s">
        <v>39</v>
      </c>
      <c r="F5" s="2" t="s">
        <v>15</v>
      </c>
      <c r="G5" s="3" t="s">
        <v>35</v>
      </c>
      <c r="H5" s="2" t="s">
        <v>32</v>
      </c>
      <c r="I5" s="2" t="s">
        <v>24</v>
      </c>
      <c r="J5" s="2" t="s">
        <v>46</v>
      </c>
      <c r="K5" s="2" t="s">
        <v>45</v>
      </c>
      <c r="L5" s="2" t="s">
        <v>24</v>
      </c>
      <c r="M5" s="2" t="s">
        <v>35</v>
      </c>
      <c r="N5" s="2" t="s">
        <v>24</v>
      </c>
      <c r="O5" s="2" t="s">
        <v>35</v>
      </c>
      <c r="P5" s="2" t="s">
        <v>24</v>
      </c>
      <c r="Q5" s="2" t="s">
        <v>24</v>
      </c>
      <c r="R5" s="19" t="s">
        <v>40</v>
      </c>
      <c r="S5" s="5" t="s">
        <v>24</v>
      </c>
      <c r="T5" s="15" t="s">
        <v>42</v>
      </c>
      <c r="U5" s="5" t="s">
        <v>35</v>
      </c>
      <c r="V5" s="18" t="s">
        <v>48</v>
      </c>
    </row>
    <row r="6" spans="1:22" x14ac:dyDescent="0.2">
      <c r="M6" s="6"/>
    </row>
    <row r="7" spans="1:22" x14ac:dyDescent="0.2">
      <c r="A7" s="1" t="s">
        <v>2</v>
      </c>
      <c r="B7" s="2">
        <v>34</v>
      </c>
      <c r="C7" s="7">
        <v>166</v>
      </c>
      <c r="D7" s="2">
        <v>0</v>
      </c>
      <c r="E7" s="7">
        <v>0</v>
      </c>
      <c r="F7" s="2">
        <f>B7+D7</f>
        <v>34</v>
      </c>
      <c r="G7" s="7">
        <f>C7+E7</f>
        <v>166</v>
      </c>
      <c r="H7" s="8">
        <v>0</v>
      </c>
      <c r="I7" s="8">
        <v>0</v>
      </c>
      <c r="J7" s="2">
        <v>0</v>
      </c>
      <c r="K7" s="9">
        <v>0</v>
      </c>
      <c r="L7" s="8">
        <v>0</v>
      </c>
      <c r="M7" s="9">
        <v>0</v>
      </c>
      <c r="N7" s="10">
        <v>0</v>
      </c>
      <c r="O7" s="9">
        <v>0</v>
      </c>
      <c r="P7" s="2">
        <v>0</v>
      </c>
      <c r="Q7" s="2">
        <v>0</v>
      </c>
      <c r="R7" s="20">
        <v>0</v>
      </c>
      <c r="S7" s="8">
        <f>H7+I7+J7+L7+N7+P7+Q7</f>
        <v>0</v>
      </c>
      <c r="T7" s="9">
        <v>0</v>
      </c>
      <c r="U7" s="11">
        <f t="shared" ref="U7:U18" si="0">G7+K7+M7+O7+T7</f>
        <v>166</v>
      </c>
      <c r="V7" s="17">
        <v>0</v>
      </c>
    </row>
    <row r="8" spans="1:22" x14ac:dyDescent="0.2">
      <c r="A8" s="1" t="s">
        <v>3</v>
      </c>
      <c r="B8" s="2">
        <v>35</v>
      </c>
      <c r="C8" s="7">
        <v>685</v>
      </c>
      <c r="D8" s="2">
        <v>0</v>
      </c>
      <c r="E8" s="7">
        <v>0</v>
      </c>
      <c r="F8" s="2">
        <f t="shared" ref="F8:F16" si="1">B8+D8</f>
        <v>35</v>
      </c>
      <c r="G8" s="7">
        <f t="shared" ref="G8:G16" si="2">C8+E8</f>
        <v>685</v>
      </c>
      <c r="H8" s="8">
        <v>9913</v>
      </c>
      <c r="I8" s="8">
        <v>0</v>
      </c>
      <c r="J8" s="2">
        <v>0</v>
      </c>
      <c r="K8" s="9">
        <v>0</v>
      </c>
      <c r="L8" s="8">
        <v>0</v>
      </c>
      <c r="M8" s="9">
        <v>0</v>
      </c>
      <c r="N8" s="10">
        <v>0</v>
      </c>
      <c r="O8" s="9">
        <v>0</v>
      </c>
      <c r="P8" s="2">
        <v>0</v>
      </c>
      <c r="Q8" s="2">
        <v>0</v>
      </c>
      <c r="R8" s="20">
        <v>0</v>
      </c>
      <c r="S8" s="8">
        <f t="shared" ref="S8:S19" si="3">H8+I8+J8+L8+N8+P8+Q8+R8</f>
        <v>9913</v>
      </c>
      <c r="T8" s="9">
        <v>15430.5</v>
      </c>
      <c r="U8" s="11">
        <f t="shared" si="0"/>
        <v>16115.5</v>
      </c>
      <c r="V8" s="17">
        <v>0</v>
      </c>
    </row>
    <row r="9" spans="1:22" x14ac:dyDescent="0.2">
      <c r="A9" s="1" t="s">
        <v>4</v>
      </c>
      <c r="B9" s="2">
        <v>81</v>
      </c>
      <c r="C9" s="7">
        <v>862</v>
      </c>
      <c r="D9" s="2">
        <v>0</v>
      </c>
      <c r="E9" s="7">
        <v>0</v>
      </c>
      <c r="F9" s="2">
        <f t="shared" si="1"/>
        <v>81</v>
      </c>
      <c r="G9" s="7">
        <f t="shared" si="2"/>
        <v>862</v>
      </c>
      <c r="H9" s="8">
        <v>6274</v>
      </c>
      <c r="I9" s="8">
        <v>0</v>
      </c>
      <c r="J9" s="2">
        <v>0</v>
      </c>
      <c r="K9" s="9">
        <v>0</v>
      </c>
      <c r="L9" s="8">
        <v>0</v>
      </c>
      <c r="M9" s="9">
        <v>0</v>
      </c>
      <c r="N9" s="10">
        <v>0</v>
      </c>
      <c r="O9" s="9">
        <v>0</v>
      </c>
      <c r="P9" s="2">
        <v>0</v>
      </c>
      <c r="Q9" s="2">
        <v>0</v>
      </c>
      <c r="R9" s="20">
        <v>0</v>
      </c>
      <c r="S9" s="8">
        <f t="shared" si="3"/>
        <v>6274</v>
      </c>
      <c r="T9" s="9">
        <v>0</v>
      </c>
      <c r="U9" s="11">
        <f t="shared" si="0"/>
        <v>862</v>
      </c>
      <c r="V9" s="17">
        <v>0</v>
      </c>
    </row>
    <row r="10" spans="1:22" x14ac:dyDescent="0.2">
      <c r="A10" s="1" t="s">
        <v>5</v>
      </c>
      <c r="B10" s="2">
        <v>47</v>
      </c>
      <c r="C10" s="7">
        <v>493</v>
      </c>
      <c r="D10" s="2">
        <f>190+104+240</f>
        <v>534</v>
      </c>
      <c r="E10" s="7">
        <f>1712.38+954.84+649.5</f>
        <v>3316.7200000000003</v>
      </c>
      <c r="F10" s="2">
        <f t="shared" si="1"/>
        <v>581</v>
      </c>
      <c r="G10" s="7">
        <f t="shared" si="2"/>
        <v>3809.7200000000003</v>
      </c>
      <c r="H10" s="8">
        <v>39247</v>
      </c>
      <c r="I10" s="8">
        <v>472.25</v>
      </c>
      <c r="J10" s="8">
        <v>1018</v>
      </c>
      <c r="K10" s="9">
        <v>203.6</v>
      </c>
      <c r="L10" s="8">
        <v>1390</v>
      </c>
      <c r="M10" s="9">
        <v>54</v>
      </c>
      <c r="N10" s="10">
        <f>282*7.3</f>
        <v>2058.6</v>
      </c>
      <c r="O10" s="9">
        <v>0</v>
      </c>
      <c r="P10" s="2">
        <f>78*9</f>
        <v>702</v>
      </c>
      <c r="Q10" s="2">
        <v>0</v>
      </c>
      <c r="R10" s="20">
        <v>0</v>
      </c>
      <c r="S10" s="8">
        <f t="shared" si="3"/>
        <v>44887.85</v>
      </c>
      <c r="T10" s="9">
        <v>0</v>
      </c>
      <c r="U10" s="11">
        <f t="shared" si="0"/>
        <v>4067.32</v>
      </c>
      <c r="V10" s="17">
        <f>472*0.35</f>
        <v>165.2</v>
      </c>
    </row>
    <row r="11" spans="1:22" x14ac:dyDescent="0.2">
      <c r="A11" s="1" t="s">
        <v>6</v>
      </c>
      <c r="B11" s="2">
        <v>52</v>
      </c>
      <c r="C11" s="7">
        <v>626</v>
      </c>
      <c r="D11" s="2">
        <f>260+181+220</f>
        <v>661</v>
      </c>
      <c r="E11" s="7">
        <f>1533.8+1346.44+1034.6</f>
        <v>3914.8399999999997</v>
      </c>
      <c r="F11" s="2">
        <f t="shared" si="1"/>
        <v>713</v>
      </c>
      <c r="G11" s="7">
        <f t="shared" si="2"/>
        <v>4540.84</v>
      </c>
      <c r="H11" s="8">
        <v>44070</v>
      </c>
      <c r="I11" s="8">
        <v>681</v>
      </c>
      <c r="J11" s="8">
        <v>1187</v>
      </c>
      <c r="K11" s="9">
        <v>306.39999999999998</v>
      </c>
      <c r="L11" s="8">
        <v>0</v>
      </c>
      <c r="M11" s="9">
        <v>0</v>
      </c>
      <c r="N11" s="10">
        <f>420*7.3</f>
        <v>3066</v>
      </c>
      <c r="O11" s="9">
        <v>0</v>
      </c>
      <c r="P11" s="2">
        <f>45*9</f>
        <v>405</v>
      </c>
      <c r="Q11" s="2">
        <v>0</v>
      </c>
      <c r="R11" s="20">
        <v>0</v>
      </c>
      <c r="S11" s="8">
        <f t="shared" si="3"/>
        <v>49409</v>
      </c>
      <c r="T11" s="9">
        <v>0</v>
      </c>
      <c r="U11" s="11">
        <f t="shared" si="0"/>
        <v>4847.24</v>
      </c>
      <c r="V11" s="17">
        <f>681*0.35</f>
        <v>238.35</v>
      </c>
    </row>
    <row r="12" spans="1:22" x14ac:dyDescent="0.2">
      <c r="A12" s="1" t="s">
        <v>7</v>
      </c>
      <c r="B12" s="2">
        <v>68</v>
      </c>
      <c r="C12" s="7">
        <v>1220</v>
      </c>
      <c r="D12" s="2">
        <v>581</v>
      </c>
      <c r="E12" s="7">
        <v>2516</v>
      </c>
      <c r="F12" s="2">
        <f t="shared" si="1"/>
        <v>649</v>
      </c>
      <c r="G12" s="7">
        <f t="shared" si="2"/>
        <v>3736</v>
      </c>
      <c r="H12" s="8">
        <v>38116</v>
      </c>
      <c r="I12" s="8">
        <v>342</v>
      </c>
      <c r="J12" s="8">
        <v>1502</v>
      </c>
      <c r="K12" s="9">
        <v>345.46</v>
      </c>
      <c r="L12" s="8">
        <v>1236</v>
      </c>
      <c r="M12" s="9">
        <v>59.2</v>
      </c>
      <c r="N12" s="10">
        <v>3084</v>
      </c>
      <c r="O12" s="9">
        <v>0</v>
      </c>
      <c r="P12" s="2">
        <v>395</v>
      </c>
      <c r="Q12" s="2">
        <v>0</v>
      </c>
      <c r="R12" s="20">
        <v>0</v>
      </c>
      <c r="S12" s="8">
        <f t="shared" si="3"/>
        <v>44675</v>
      </c>
      <c r="T12" s="9">
        <v>0</v>
      </c>
      <c r="U12" s="11">
        <f t="shared" si="0"/>
        <v>4140.66</v>
      </c>
      <c r="V12" s="17">
        <f>342*0.35</f>
        <v>119.69999999999999</v>
      </c>
    </row>
    <row r="13" spans="1:22" x14ac:dyDescent="0.2">
      <c r="A13" s="1" t="s">
        <v>8</v>
      </c>
      <c r="B13" s="2">
        <v>60</v>
      </c>
      <c r="C13" s="7">
        <v>995</v>
      </c>
      <c r="D13" s="2">
        <v>444</v>
      </c>
      <c r="E13" s="7">
        <f>1224.81+1336</f>
        <v>2560.81</v>
      </c>
      <c r="F13" s="2">
        <f t="shared" si="1"/>
        <v>504</v>
      </c>
      <c r="G13" s="7">
        <f t="shared" si="2"/>
        <v>3555.81</v>
      </c>
      <c r="H13" s="8">
        <v>36496</v>
      </c>
      <c r="I13" s="8">
        <v>550</v>
      </c>
      <c r="J13" s="8">
        <v>0</v>
      </c>
      <c r="K13" s="9">
        <v>0</v>
      </c>
      <c r="L13" s="8">
        <v>0</v>
      </c>
      <c r="M13" s="9">
        <v>0</v>
      </c>
      <c r="N13" s="10">
        <v>4113</v>
      </c>
      <c r="O13" s="9">
        <v>0</v>
      </c>
      <c r="P13" s="2">
        <v>702</v>
      </c>
      <c r="Q13" s="12">
        <f>36+8.2+15.4+19.2+23.8</f>
        <v>102.6</v>
      </c>
      <c r="R13" s="20">
        <v>0</v>
      </c>
      <c r="S13" s="8">
        <f t="shared" si="3"/>
        <v>41963.6</v>
      </c>
      <c r="T13" s="9">
        <v>900</v>
      </c>
      <c r="U13" s="11">
        <f t="shared" si="0"/>
        <v>4455.8099999999995</v>
      </c>
      <c r="V13" s="17">
        <f>(103*0.5)+(550*0.35)</f>
        <v>244</v>
      </c>
    </row>
    <row r="14" spans="1:22" x14ac:dyDescent="0.2">
      <c r="A14" s="1" t="s">
        <v>9</v>
      </c>
      <c r="B14" s="2">
        <v>55</v>
      </c>
      <c r="C14" s="7">
        <v>1177</v>
      </c>
      <c r="D14" s="2">
        <v>538</v>
      </c>
      <c r="E14" s="7">
        <v>2531.96</v>
      </c>
      <c r="F14" s="2">
        <f t="shared" si="1"/>
        <v>593</v>
      </c>
      <c r="G14" s="7">
        <f t="shared" si="2"/>
        <v>3708.96</v>
      </c>
      <c r="H14" s="8">
        <v>42928</v>
      </c>
      <c r="I14" s="8">
        <v>249</v>
      </c>
      <c r="J14" s="8">
        <v>1636</v>
      </c>
      <c r="K14" s="9">
        <v>387.58</v>
      </c>
      <c r="L14" s="8">
        <v>0</v>
      </c>
      <c r="M14" s="9">
        <v>0</v>
      </c>
      <c r="N14" s="10">
        <v>2754</v>
      </c>
      <c r="O14" s="14">
        <v>0</v>
      </c>
      <c r="P14" s="8">
        <v>1096</v>
      </c>
      <c r="Q14" s="2">
        <f>15+(18.2*5)</f>
        <v>106</v>
      </c>
      <c r="R14" s="21">
        <f>102*10</f>
        <v>1020</v>
      </c>
      <c r="S14" s="8">
        <f t="shared" si="3"/>
        <v>49789</v>
      </c>
      <c r="T14" s="9">
        <v>6192.75</v>
      </c>
      <c r="U14" s="11">
        <f t="shared" si="0"/>
        <v>10289.290000000001</v>
      </c>
      <c r="V14" s="17">
        <f>(1000*0.75)+(106*0.5)+(249*0.35)+(1020*0.45)</f>
        <v>1349.15</v>
      </c>
    </row>
    <row r="15" spans="1:22" x14ac:dyDescent="0.2">
      <c r="A15" s="1" t="s">
        <v>10</v>
      </c>
      <c r="B15" s="2">
        <v>52</v>
      </c>
      <c r="C15" s="7">
        <v>1290</v>
      </c>
      <c r="D15" s="2">
        <v>401</v>
      </c>
      <c r="E15" s="7">
        <v>2526</v>
      </c>
      <c r="F15" s="2">
        <f t="shared" si="1"/>
        <v>453</v>
      </c>
      <c r="G15" s="7">
        <f t="shared" si="2"/>
        <v>3816</v>
      </c>
      <c r="H15" s="8">
        <v>27810</v>
      </c>
      <c r="I15" s="8">
        <v>168</v>
      </c>
      <c r="J15" s="8">
        <v>984</v>
      </c>
      <c r="K15" s="9">
        <v>207.04</v>
      </c>
      <c r="L15" s="8">
        <v>0</v>
      </c>
      <c r="M15" s="9">
        <v>0</v>
      </c>
      <c r="N15" s="10">
        <v>2938</v>
      </c>
      <c r="O15" s="14">
        <v>0</v>
      </c>
      <c r="P15" s="2">
        <v>785</v>
      </c>
      <c r="Q15" s="2">
        <f>38+18</f>
        <v>56</v>
      </c>
      <c r="R15" s="21">
        <f>116*10</f>
        <v>1160</v>
      </c>
      <c r="S15" s="8">
        <f t="shared" si="3"/>
        <v>33901</v>
      </c>
      <c r="T15" s="9">
        <v>0</v>
      </c>
      <c r="U15" s="11">
        <f t="shared" si="0"/>
        <v>4023.04</v>
      </c>
      <c r="V15" s="17">
        <f>(56*0.5)+(168*0.35)+(1160*0.45)</f>
        <v>608.79999999999995</v>
      </c>
    </row>
    <row r="16" spans="1:22" x14ac:dyDescent="0.2">
      <c r="A16" s="1" t="s">
        <v>11</v>
      </c>
      <c r="B16" s="2">
        <v>51</v>
      </c>
      <c r="C16" s="7">
        <v>792</v>
      </c>
      <c r="D16" s="2">
        <v>673</v>
      </c>
      <c r="E16" s="7">
        <f>707+909.97+750.02</f>
        <v>2366.9899999999998</v>
      </c>
      <c r="F16" s="2">
        <f t="shared" si="1"/>
        <v>724</v>
      </c>
      <c r="G16" s="7">
        <f t="shared" si="2"/>
        <v>3158.99</v>
      </c>
      <c r="H16" s="8">
        <v>26083</v>
      </c>
      <c r="I16" s="8">
        <v>163</v>
      </c>
      <c r="J16" s="2">
        <v>0</v>
      </c>
      <c r="K16" s="14">
        <v>0</v>
      </c>
      <c r="L16" s="8">
        <v>0</v>
      </c>
      <c r="M16" s="9">
        <v>0</v>
      </c>
      <c r="N16" s="10">
        <v>0</v>
      </c>
      <c r="O16" s="14">
        <v>0</v>
      </c>
      <c r="P16" s="2">
        <v>0</v>
      </c>
      <c r="Q16" s="2">
        <v>21</v>
      </c>
      <c r="R16" s="21">
        <v>0</v>
      </c>
      <c r="S16" s="8">
        <f t="shared" si="3"/>
        <v>26267</v>
      </c>
      <c r="T16" s="9">
        <v>5811</v>
      </c>
      <c r="U16" s="11">
        <f t="shared" si="0"/>
        <v>8969.99</v>
      </c>
      <c r="V16" s="17">
        <f>218.7+186.95+(357.2*0.5)+(3*100)+(163*0.35)</f>
        <v>941.3</v>
      </c>
    </row>
    <row r="17" spans="1:23" x14ac:dyDescent="0.2">
      <c r="A17" s="1" t="s">
        <v>12</v>
      </c>
      <c r="B17" s="2">
        <f>60</f>
        <v>60</v>
      </c>
      <c r="C17" s="7">
        <f>190+185+810+25+705</f>
        <v>1915</v>
      </c>
      <c r="D17" s="2">
        <f>184+194+219</f>
        <v>597</v>
      </c>
      <c r="E17" s="7">
        <f>754+1257+835</f>
        <v>2846</v>
      </c>
      <c r="F17" s="2">
        <f t="shared" ref="F17:F19" si="4">B17+D17</f>
        <v>657</v>
      </c>
      <c r="G17" s="7">
        <f t="shared" ref="G17:G19" si="5">C17+E17</f>
        <v>4761</v>
      </c>
      <c r="H17" s="8">
        <v>48590</v>
      </c>
      <c r="I17" s="8">
        <v>413</v>
      </c>
      <c r="J17" s="8">
        <v>1425</v>
      </c>
      <c r="K17" s="9">
        <v>282.92</v>
      </c>
      <c r="L17" s="8">
        <v>0</v>
      </c>
      <c r="M17" s="9">
        <v>0</v>
      </c>
      <c r="N17" s="10">
        <v>3342</v>
      </c>
      <c r="O17" s="14">
        <v>0</v>
      </c>
      <c r="P17" s="2">
        <v>523</v>
      </c>
      <c r="Q17" s="2">
        <v>0</v>
      </c>
      <c r="R17" s="21">
        <v>1280</v>
      </c>
      <c r="S17" s="8">
        <f t="shared" si="3"/>
        <v>55573</v>
      </c>
      <c r="T17" s="9">
        <v>0</v>
      </c>
      <c r="U17" s="11">
        <f t="shared" si="0"/>
        <v>5043.92</v>
      </c>
      <c r="V17" s="17">
        <f>212+220.55+(1280*0.45)</f>
        <v>1008.55</v>
      </c>
    </row>
    <row r="18" spans="1:23" x14ac:dyDescent="0.2">
      <c r="A18" s="1" t="s">
        <v>13</v>
      </c>
      <c r="B18" s="2">
        <v>72</v>
      </c>
      <c r="C18" s="7">
        <v>1621</v>
      </c>
      <c r="D18" s="2">
        <v>0</v>
      </c>
      <c r="E18" s="7">
        <v>0</v>
      </c>
      <c r="F18" s="2">
        <f t="shared" si="4"/>
        <v>72</v>
      </c>
      <c r="G18" s="7">
        <f t="shared" si="5"/>
        <v>1621</v>
      </c>
      <c r="H18" s="8">
        <v>7644</v>
      </c>
      <c r="I18" s="8">
        <v>360</v>
      </c>
      <c r="J18" s="8">
        <v>704</v>
      </c>
      <c r="K18" s="9">
        <v>138.6</v>
      </c>
      <c r="L18" s="8">
        <v>690</v>
      </c>
      <c r="M18" s="9">
        <v>26.25</v>
      </c>
      <c r="N18" s="10">
        <v>0</v>
      </c>
      <c r="O18" s="14">
        <v>0</v>
      </c>
      <c r="P18" s="2">
        <v>0</v>
      </c>
      <c r="R18" s="21">
        <v>0</v>
      </c>
      <c r="S18" s="8">
        <f t="shared" si="3"/>
        <v>9398</v>
      </c>
      <c r="T18" s="9">
        <v>0</v>
      </c>
      <c r="U18" s="11">
        <f t="shared" si="0"/>
        <v>1785.85</v>
      </c>
      <c r="V18" s="17">
        <v>169</v>
      </c>
    </row>
    <row r="19" spans="1:23" x14ac:dyDescent="0.2">
      <c r="A19" s="1" t="s">
        <v>55</v>
      </c>
      <c r="B19" s="2">
        <v>0</v>
      </c>
      <c r="C19" s="7">
        <v>0</v>
      </c>
      <c r="D19" s="2">
        <v>980</v>
      </c>
      <c r="E19" s="7">
        <v>8986</v>
      </c>
      <c r="F19" s="2">
        <f t="shared" si="4"/>
        <v>980</v>
      </c>
      <c r="G19" s="7">
        <f t="shared" si="5"/>
        <v>8986</v>
      </c>
      <c r="H19" s="8">
        <v>57815</v>
      </c>
      <c r="I19" s="8">
        <v>0</v>
      </c>
      <c r="J19" s="8">
        <v>217</v>
      </c>
      <c r="K19" s="9">
        <v>0</v>
      </c>
      <c r="L19" s="8">
        <v>0</v>
      </c>
      <c r="M19" s="9">
        <v>0</v>
      </c>
      <c r="N19" s="10">
        <v>0</v>
      </c>
      <c r="O19" s="14">
        <v>0</v>
      </c>
      <c r="P19" s="2">
        <v>0</v>
      </c>
      <c r="Q19" s="2">
        <v>0</v>
      </c>
      <c r="R19" s="21">
        <v>0</v>
      </c>
      <c r="S19" s="8">
        <f t="shared" si="3"/>
        <v>58032</v>
      </c>
      <c r="T19" s="9">
        <v>0</v>
      </c>
      <c r="U19" s="11">
        <f>G19+K19+M19+O19+T19</f>
        <v>8986</v>
      </c>
      <c r="V19" s="17">
        <v>6500</v>
      </c>
    </row>
    <row r="20" spans="1:23" x14ac:dyDescent="0.2">
      <c r="C20" s="7"/>
      <c r="E20" s="7"/>
      <c r="G20" s="7"/>
      <c r="I20" s="8"/>
      <c r="J20" s="8"/>
      <c r="K20" s="9"/>
      <c r="L20" s="8"/>
      <c r="M20" s="9"/>
      <c r="N20" s="10"/>
      <c r="O20" s="2"/>
      <c r="R20" s="21"/>
      <c r="V20" s="17"/>
    </row>
    <row r="21" spans="1:23" x14ac:dyDescent="0.2">
      <c r="A21" s="1" t="s">
        <v>14</v>
      </c>
      <c r="B21" s="2">
        <f t="shared" ref="B21:G21" si="6">SUM(B7:B20)</f>
        <v>667</v>
      </c>
      <c r="C21" s="7">
        <f t="shared" si="6"/>
        <v>11842</v>
      </c>
      <c r="D21" s="2">
        <f t="shared" si="6"/>
        <v>5409</v>
      </c>
      <c r="E21" s="7">
        <f t="shared" si="6"/>
        <v>31565.32</v>
      </c>
      <c r="F21" s="2">
        <f t="shared" si="6"/>
        <v>6076</v>
      </c>
      <c r="G21" s="7">
        <f t="shared" si="6"/>
        <v>43407.32</v>
      </c>
      <c r="H21" s="8">
        <f t="shared" ref="H21:U21" si="7">SUM(H7:H20)</f>
        <v>384986</v>
      </c>
      <c r="I21" s="8">
        <f t="shared" si="7"/>
        <v>3398.25</v>
      </c>
      <c r="J21" s="8">
        <f t="shared" si="7"/>
        <v>8673</v>
      </c>
      <c r="K21" s="9">
        <f t="shared" si="7"/>
        <v>1871.6</v>
      </c>
      <c r="L21" s="8">
        <f t="shared" si="7"/>
        <v>3316</v>
      </c>
      <c r="M21" s="9">
        <f t="shared" si="7"/>
        <v>139.44999999999999</v>
      </c>
      <c r="N21" s="10">
        <f t="shared" si="7"/>
        <v>21355.599999999999</v>
      </c>
      <c r="O21" s="9">
        <f t="shared" si="7"/>
        <v>0</v>
      </c>
      <c r="P21" s="8">
        <f t="shared" si="7"/>
        <v>4608</v>
      </c>
      <c r="Q21" s="8">
        <f>SUM(Q7:Q20)</f>
        <v>285.60000000000002</v>
      </c>
      <c r="R21" s="21">
        <f>SUM(R7:R20)</f>
        <v>3460</v>
      </c>
      <c r="S21" s="8">
        <f t="shared" si="7"/>
        <v>430082.45</v>
      </c>
      <c r="T21" s="9">
        <f>SUM(T7:T20)</f>
        <v>28334.25</v>
      </c>
      <c r="U21" s="11">
        <f t="shared" si="7"/>
        <v>73752.62</v>
      </c>
      <c r="V21" s="17">
        <f>SUM(V7:V20)</f>
        <v>11344.05</v>
      </c>
      <c r="W21" s="32">
        <f>SUM(U21:V21)</f>
        <v>85096.67</v>
      </c>
    </row>
    <row r="23" spans="1:23" x14ac:dyDescent="0.2">
      <c r="O23" s="23" t="s">
        <v>49</v>
      </c>
      <c r="R23" s="22">
        <f>R21*2</f>
        <v>6920</v>
      </c>
    </row>
    <row r="24" spans="1:23" x14ac:dyDescent="0.2">
      <c r="A24" s="1" t="s">
        <v>38</v>
      </c>
      <c r="U24" s="11"/>
    </row>
    <row r="25" spans="1:23" s="24" customFormat="1" x14ac:dyDescent="0.2">
      <c r="A25" s="24" t="s">
        <v>53</v>
      </c>
      <c r="B25" s="20"/>
      <c r="C25" s="25"/>
      <c r="D25" s="20"/>
      <c r="E25" s="25"/>
      <c r="F25" s="20"/>
      <c r="G25" s="25"/>
      <c r="H25" s="20"/>
      <c r="I25" s="20"/>
      <c r="J25" s="20"/>
      <c r="L25" s="26"/>
      <c r="M25" s="20"/>
      <c r="N25" s="20"/>
      <c r="P25" s="20"/>
      <c r="Q25" s="20"/>
      <c r="R25" s="19"/>
      <c r="S25" s="20"/>
      <c r="T25" s="20"/>
      <c r="U25" s="20"/>
      <c r="V25" s="27"/>
    </row>
    <row r="26" spans="1:23" x14ac:dyDescent="0.2">
      <c r="A26" s="1" t="s">
        <v>44</v>
      </c>
    </row>
    <row r="27" spans="1:23" s="28" customFormat="1" x14ac:dyDescent="0.2">
      <c r="A27" s="28" t="s">
        <v>54</v>
      </c>
      <c r="B27" s="5"/>
      <c r="C27" s="29"/>
      <c r="D27" s="5"/>
      <c r="E27" s="29"/>
      <c r="F27" s="5"/>
      <c r="G27" s="29"/>
      <c r="H27" s="5"/>
      <c r="I27" s="5"/>
      <c r="J27" s="5"/>
      <c r="L27" s="30"/>
      <c r="M27" s="5"/>
      <c r="N27" s="5"/>
      <c r="P27" s="5"/>
      <c r="Q27" s="5"/>
      <c r="R27" s="31"/>
      <c r="S27" s="5"/>
      <c r="T27" s="5"/>
      <c r="U27" s="5"/>
      <c r="V27" s="17"/>
    </row>
    <row r="29" spans="1:23" x14ac:dyDescent="0.2">
      <c r="A29" s="1" t="s">
        <v>18</v>
      </c>
    </row>
    <row r="32" spans="1:23" x14ac:dyDescent="0.2">
      <c r="G32" s="2"/>
    </row>
    <row r="33" spans="7:11" x14ac:dyDescent="0.2">
      <c r="G33" s="2"/>
    </row>
    <row r="34" spans="7:11" x14ac:dyDescent="0.2">
      <c r="G34" s="2"/>
    </row>
    <row r="35" spans="7:11" x14ac:dyDescent="0.2">
      <c r="I35" s="6"/>
      <c r="K35" s="13"/>
    </row>
  </sheetData>
  <pageMargins left="0.25" right="0.25" top="0.75" bottom="0.75" header="0.3" footer="0.3"/>
  <pageSetup paperSize="5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Washtenaw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County User</dc:creator>
  <cp:lastModifiedBy>csfost</cp:lastModifiedBy>
  <cp:lastPrinted>2016-12-22T20:40:50Z</cp:lastPrinted>
  <dcterms:created xsi:type="dcterms:W3CDTF">2016-06-03T14:02:30Z</dcterms:created>
  <dcterms:modified xsi:type="dcterms:W3CDTF">2017-02-28T21:25:43Z</dcterms:modified>
</cp:coreProperties>
</file>