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ROGRAMS AND DIVISIONS\PUBLIC WORKS\SOLID WASTE\HOME TOXICS PROGRAM (HHW)\Annual Reports\2017\"/>
    </mc:Choice>
  </mc:AlternateContent>
  <bookViews>
    <workbookView xWindow="360" yWindow="150" windowWidth="26835" windowHeight="10995" activeTab="9"/>
  </bookViews>
  <sheets>
    <sheet name="Feb 2016" sheetId="1" r:id="rId1"/>
    <sheet name="March 2016" sheetId="2" r:id="rId2"/>
    <sheet name="April 2016" sheetId="3" r:id="rId3"/>
    <sheet name="May 2016" sheetId="4" r:id="rId4"/>
    <sheet name="June 2016" sheetId="5" r:id="rId5"/>
    <sheet name="July 2016" sheetId="6" r:id="rId6"/>
    <sheet name="Aug 2016" sheetId="7" r:id="rId7"/>
    <sheet name="Sept 2016" sheetId="8" r:id="rId8"/>
    <sheet name="Oct 2016" sheetId="10" r:id="rId9"/>
    <sheet name="Summary" sheetId="9" r:id="rId10"/>
  </sheets>
  <calcPr calcId="152511"/>
</workbook>
</file>

<file path=xl/calcChain.xml><?xml version="1.0" encoding="utf-8"?>
<calcChain xmlns="http://schemas.openxmlformats.org/spreadsheetml/2006/main">
  <c r="U4" i="9" l="1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3" i="9"/>
  <c r="K29" i="9" l="1"/>
  <c r="I29" i="9"/>
  <c r="G29" i="9"/>
  <c r="M30" i="9"/>
  <c r="M29" i="9"/>
  <c r="L30" i="9"/>
  <c r="L29" i="9"/>
  <c r="L28" i="9"/>
  <c r="I28" i="9" l="1"/>
  <c r="I30" i="9" s="1"/>
  <c r="J28" i="9"/>
  <c r="J30" i="9" s="1"/>
  <c r="H9" i="9" l="1"/>
  <c r="H4" i="9"/>
  <c r="H25" i="9"/>
  <c r="H19" i="9"/>
  <c r="H18" i="9"/>
  <c r="H10" i="9"/>
  <c r="H12" i="9"/>
  <c r="H15" i="9"/>
  <c r="H8" i="9"/>
  <c r="H16" i="9"/>
  <c r="H6" i="9"/>
  <c r="H22" i="9"/>
  <c r="B37" i="9" l="1"/>
  <c r="R15" i="9" l="1"/>
  <c r="T15" i="9" s="1"/>
  <c r="V15" i="9" s="1"/>
  <c r="R8" i="9"/>
  <c r="R7" i="9"/>
  <c r="T7" i="9" s="1"/>
  <c r="V7" i="9" s="1"/>
  <c r="H26" i="9"/>
  <c r="H17" i="9"/>
  <c r="H21" i="9"/>
  <c r="H20" i="9"/>
  <c r="H28" i="9" l="1"/>
  <c r="H30" i="9" s="1"/>
  <c r="G28" i="9"/>
  <c r="G30" i="9" l="1"/>
  <c r="E29" i="9"/>
  <c r="E28" i="9"/>
  <c r="E30" i="9" l="1"/>
  <c r="D29" i="9"/>
  <c r="C28" i="9"/>
  <c r="D28" i="9"/>
  <c r="D30" i="9" l="1"/>
  <c r="B29" i="9"/>
  <c r="R29" i="9" s="1"/>
  <c r="R22" i="9" l="1"/>
  <c r="T22" i="9" s="1"/>
  <c r="V22" i="9" s="1"/>
  <c r="R23" i="9"/>
  <c r="T23" i="9" s="1"/>
  <c r="V23" i="9" s="1"/>
  <c r="R27" i="9"/>
  <c r="T27" i="9" s="1"/>
  <c r="V27" i="9" s="1"/>
  <c r="R26" i="9"/>
  <c r="T26" i="9" s="1"/>
  <c r="V26" i="9" s="1"/>
  <c r="R25" i="9"/>
  <c r="T25" i="9" s="1"/>
  <c r="V25" i="9" s="1"/>
  <c r="R24" i="9"/>
  <c r="T24" i="9" s="1"/>
  <c r="V24" i="9" s="1"/>
  <c r="R21" i="9"/>
  <c r="T21" i="9" s="1"/>
  <c r="V21" i="9" s="1"/>
  <c r="R20" i="9"/>
  <c r="T20" i="9" s="1"/>
  <c r="V20" i="9" s="1"/>
  <c r="R19" i="9"/>
  <c r="T19" i="9" s="1"/>
  <c r="V19" i="9" s="1"/>
  <c r="R18" i="9"/>
  <c r="T18" i="9" s="1"/>
  <c r="V18" i="9" s="1"/>
  <c r="R17" i="9"/>
  <c r="T17" i="9" s="1"/>
  <c r="V17" i="9" s="1"/>
  <c r="R16" i="9"/>
  <c r="T16" i="9" s="1"/>
  <c r="V16" i="9" s="1"/>
  <c r="R14" i="9"/>
  <c r="T14" i="9" s="1"/>
  <c r="V14" i="9" s="1"/>
  <c r="R13" i="9"/>
  <c r="T13" i="9" s="1"/>
  <c r="V13" i="9" s="1"/>
  <c r="R12" i="9"/>
  <c r="T12" i="9" s="1"/>
  <c r="V12" i="9" s="1"/>
  <c r="R11" i="9"/>
  <c r="T11" i="9" s="1"/>
  <c r="V11" i="9" s="1"/>
  <c r="R10" i="9"/>
  <c r="T10" i="9" s="1"/>
  <c r="V10" i="9" s="1"/>
  <c r="R9" i="9"/>
  <c r="T9" i="9" s="1"/>
  <c r="V9" i="9" s="1"/>
  <c r="T8" i="9"/>
  <c r="V8" i="9" s="1"/>
  <c r="R6" i="9"/>
  <c r="T6" i="9" s="1"/>
  <c r="V6" i="9" s="1"/>
  <c r="R5" i="9"/>
  <c r="T5" i="9" s="1"/>
  <c r="V5" i="9" s="1"/>
  <c r="R4" i="9"/>
  <c r="T4" i="9" s="1"/>
  <c r="V4" i="9" s="1"/>
  <c r="B28" i="9"/>
  <c r="B30" i="9" s="1"/>
  <c r="F28" i="9"/>
  <c r="F30" i="9" s="1"/>
  <c r="K28" i="9"/>
  <c r="K30" i="9" s="1"/>
  <c r="M28" i="9"/>
  <c r="N28" i="9"/>
  <c r="P28" i="9"/>
  <c r="C18" i="8"/>
  <c r="B17" i="6"/>
  <c r="B12" i="2"/>
  <c r="B14" i="1"/>
  <c r="B23" i="3"/>
  <c r="B20" i="4"/>
  <c r="B19" i="5"/>
  <c r="Q28" i="9" l="1"/>
  <c r="R3" i="9" l="1"/>
  <c r="T3" i="9" s="1"/>
  <c r="V3" i="9" s="1"/>
  <c r="R28" i="9" l="1"/>
  <c r="T28" i="9"/>
  <c r="S28" i="9" l="1"/>
  <c r="V28" i="9"/>
</calcChain>
</file>

<file path=xl/sharedStrings.xml><?xml version="1.0" encoding="utf-8"?>
<sst xmlns="http://schemas.openxmlformats.org/spreadsheetml/2006/main" count="322" uniqueCount="90">
  <si>
    <t>Acid</t>
  </si>
  <si>
    <t>Base</t>
  </si>
  <si>
    <t>Flammable</t>
  </si>
  <si>
    <t>Summary of May 2016 US Ecology weights</t>
  </si>
  <si>
    <t>Latex recycle</t>
  </si>
  <si>
    <t>Latex solidify</t>
  </si>
  <si>
    <t>Motor oil</t>
  </si>
  <si>
    <t>Sharps</t>
  </si>
  <si>
    <t>Fluorescent tubes</t>
  </si>
  <si>
    <t>House batteries</t>
  </si>
  <si>
    <t>Non-Haz</t>
  </si>
  <si>
    <t>Propane</t>
  </si>
  <si>
    <t>Pesticides</t>
  </si>
  <si>
    <t>Aerosols</t>
  </si>
  <si>
    <t>Summary of June 2016 US Ecology weights</t>
  </si>
  <si>
    <t>Summary of April 2016 US Ecology weights</t>
  </si>
  <si>
    <t>Flares</t>
  </si>
  <si>
    <t>Smoke detectors</t>
  </si>
  <si>
    <t>Oxidizers</t>
  </si>
  <si>
    <t>Oil Paint</t>
  </si>
  <si>
    <t>Latex recycling</t>
  </si>
  <si>
    <t>Latex solids</t>
  </si>
  <si>
    <t>Non-hazardous</t>
  </si>
  <si>
    <t>Fluorescents</t>
  </si>
  <si>
    <t>Motorl Oil</t>
  </si>
  <si>
    <t>Summary of February 2016 US Ecology weights</t>
  </si>
  <si>
    <t>Summary of March 2016 US Ecology weights</t>
  </si>
  <si>
    <t>Fire Ext.</t>
  </si>
  <si>
    <t>Medicine</t>
  </si>
  <si>
    <t>Fluorsecents</t>
  </si>
  <si>
    <t>Summary of July 2016 US Ecology weights</t>
  </si>
  <si>
    <t>Fire extinguishers</t>
  </si>
  <si>
    <t>Summary of September 2016 US Ecology weights</t>
  </si>
  <si>
    <t>Feb</t>
  </si>
  <si>
    <t>March</t>
  </si>
  <si>
    <t>April</t>
  </si>
  <si>
    <t>May</t>
  </si>
  <si>
    <t>June</t>
  </si>
  <si>
    <t>July</t>
  </si>
  <si>
    <t>Aug</t>
  </si>
  <si>
    <t>Sept</t>
  </si>
  <si>
    <t>Fire Ext</t>
  </si>
  <si>
    <t>Latex Solid</t>
  </si>
  <si>
    <t>Batteries</t>
  </si>
  <si>
    <t>Motor Oil</t>
  </si>
  <si>
    <t>Oil paint</t>
  </si>
  <si>
    <t>Oct</t>
  </si>
  <si>
    <t>Nov</t>
  </si>
  <si>
    <t>Dec</t>
  </si>
  <si>
    <t>Summary of October 2016 US Ecology Weights</t>
  </si>
  <si>
    <t>Mercury</t>
  </si>
  <si>
    <t>Ballasts</t>
  </si>
  <si>
    <t>Reactives</t>
  </si>
  <si>
    <t>Poisons</t>
  </si>
  <si>
    <t>Cost per Pound</t>
  </si>
  <si>
    <t>Total Cost</t>
  </si>
  <si>
    <t># of Participants</t>
  </si>
  <si>
    <t>Avg. Cost Per Participant</t>
  </si>
  <si>
    <t>2017 OVERALL TOTAL (HHW + CCD)</t>
  </si>
  <si>
    <t>Cost</t>
  </si>
  <si>
    <t>Cost per pound</t>
  </si>
  <si>
    <t>M:\PROGRAMS AND DIVISIONS\PUBLIC WORKS\SOLID WASTE\HOME TOXICS PROGRAM (HHW)\Annual Reports\2017\US Ecology Weights</t>
  </si>
  <si>
    <t>***</t>
  </si>
  <si>
    <t>Note:</t>
  </si>
  <si>
    <t>This</t>
  </si>
  <si>
    <t>column</t>
  </si>
  <si>
    <t>reflects</t>
  </si>
  <si>
    <t xml:space="preserve">only </t>
  </si>
  <si>
    <t>disposal</t>
  </si>
  <si>
    <t>costs,</t>
  </si>
  <si>
    <t xml:space="preserve">not </t>
  </si>
  <si>
    <t>labor</t>
  </si>
  <si>
    <t>included</t>
  </si>
  <si>
    <t>Zeeb</t>
  </si>
  <si>
    <t>Batteries auto</t>
  </si>
  <si>
    <t>Lighters</t>
  </si>
  <si>
    <t>Chelsea cars</t>
  </si>
  <si>
    <t>Northfield cars</t>
  </si>
  <si>
    <t>Augusta cars</t>
  </si>
  <si>
    <t>Saline cars</t>
  </si>
  <si>
    <t xml:space="preserve">EMU cars </t>
  </si>
  <si>
    <t>Note: Dollar</t>
  </si>
  <si>
    <t>amount above</t>
  </si>
  <si>
    <t>includes</t>
  </si>
  <si>
    <t>labor costs</t>
  </si>
  <si>
    <t>Augusta</t>
  </si>
  <si>
    <t>Chelsea</t>
  </si>
  <si>
    <t>Northfield</t>
  </si>
  <si>
    <t>Saline</t>
  </si>
  <si>
    <t>EMU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</si>
</sst>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.000_);_(&quot;$&quot;* \(#,##0.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0" applyNumberFormat="1"/>
    <xf numFmtId="3" fontId="0" fillId="0" borderId="0" xfId="0" applyNumberFormat="1"/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0" xfId="0" applyAlignment="1">
      <alignment horizontal="left"/>
    </xf>
    <xf numFmtId="165" fontId="0" fillId="0" borderId="0" xfId="1" applyNumberFormat="1" applyFont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3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Fill="1" applyBorder="1"/>
    <xf numFmtId="164" fontId="0" fillId="0" borderId="0" xfId="1" applyNumberFormat="1" applyFont="1" applyBorder="1" applyAlignment="1">
      <alignment horizontal="center"/>
    </xf>
    <xf numFmtId="164" fontId="2" fillId="2" borderId="4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3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4" fontId="0" fillId="0" borderId="0" xfId="1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L17" sqref="L17"/>
    </sheetView>
  </sheetViews>
  <sheetFormatPr defaultRowHeight="15" x14ac:dyDescent="0.25"/>
  <cols>
    <col min="1" max="1" width="21.140625" customWidth="1"/>
    <col min="2" max="2" width="9.140625" style="4"/>
    <col min="3" max="3" width="9.140625" style="3"/>
  </cols>
  <sheetData>
    <row r="1" spans="1:12" x14ac:dyDescent="0.25">
      <c r="A1" t="s">
        <v>25</v>
      </c>
    </row>
    <row r="3" spans="1:12" x14ac:dyDescent="0.25">
      <c r="A3" t="s">
        <v>2</v>
      </c>
      <c r="B3" s="4">
        <v>1622</v>
      </c>
    </row>
    <row r="4" spans="1:12" x14ac:dyDescent="0.25">
      <c r="A4" t="s">
        <v>22</v>
      </c>
      <c r="B4" s="4">
        <v>5987</v>
      </c>
    </row>
    <row r="5" spans="1:12" x14ac:dyDescent="0.25">
      <c r="A5" t="s">
        <v>23</v>
      </c>
      <c r="B5" s="4">
        <v>45</v>
      </c>
    </row>
    <row r="6" spans="1:12" x14ac:dyDescent="0.25">
      <c r="A6" t="s">
        <v>1</v>
      </c>
      <c r="B6" s="4">
        <v>179</v>
      </c>
    </row>
    <row r="7" spans="1:12" x14ac:dyDescent="0.25">
      <c r="A7" t="s">
        <v>0</v>
      </c>
      <c r="B7" s="4">
        <v>216</v>
      </c>
    </row>
    <row r="8" spans="1:12" x14ac:dyDescent="0.25">
      <c r="A8" t="s">
        <v>7</v>
      </c>
      <c r="B8" s="4">
        <v>125</v>
      </c>
    </row>
    <row r="9" spans="1:12" x14ac:dyDescent="0.25">
      <c r="A9" t="s">
        <v>24</v>
      </c>
      <c r="B9" s="4">
        <v>415</v>
      </c>
    </row>
    <row r="10" spans="1:12" x14ac:dyDescent="0.25">
      <c r="A10" t="s">
        <v>11</v>
      </c>
      <c r="B10" s="4">
        <v>124</v>
      </c>
    </row>
    <row r="11" spans="1:12" x14ac:dyDescent="0.25">
      <c r="A11" t="s">
        <v>12</v>
      </c>
      <c r="B11" s="4">
        <v>1200</v>
      </c>
    </row>
    <row r="14" spans="1:12" x14ac:dyDescent="0.25">
      <c r="B14" s="4">
        <f>SUM(B3:B13)</f>
        <v>9913</v>
      </c>
    </row>
    <row r="16" spans="1:12" x14ac:dyDescent="0.25">
      <c r="L16">
        <v>160</v>
      </c>
    </row>
    <row r="17" spans="12:12" x14ac:dyDescent="0.25">
      <c r="L17">
        <v>210</v>
      </c>
    </row>
    <row r="18" spans="12:12" x14ac:dyDescent="0.25">
      <c r="L18">
        <v>124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3" sqref="A3:B9"/>
    </sheetView>
  </sheetViews>
  <sheetFormatPr defaultRowHeight="15" x14ac:dyDescent="0.25"/>
  <cols>
    <col min="1" max="1" width="14.42578125" customWidth="1"/>
    <col min="2" max="2" width="11.28515625" customWidth="1"/>
    <col min="3" max="3" width="12.42578125" customWidth="1"/>
  </cols>
  <sheetData>
    <row r="1" spans="1:3" x14ac:dyDescent="0.25">
      <c r="A1" t="s">
        <v>26</v>
      </c>
      <c r="B1" s="2"/>
      <c r="C1" s="1"/>
    </row>
    <row r="2" spans="1:3" x14ac:dyDescent="0.25">
      <c r="B2" s="2"/>
      <c r="C2" s="1"/>
    </row>
    <row r="3" spans="1:3" x14ac:dyDescent="0.25">
      <c r="A3" t="s">
        <v>2</v>
      </c>
      <c r="B3" s="2">
        <v>374</v>
      </c>
      <c r="C3" s="1"/>
    </row>
    <row r="4" spans="1:3" x14ac:dyDescent="0.25">
      <c r="A4" t="s">
        <v>13</v>
      </c>
      <c r="B4" s="2">
        <v>524</v>
      </c>
      <c r="C4" s="1"/>
    </row>
    <row r="5" spans="1:3" x14ac:dyDescent="0.25">
      <c r="A5" t="s">
        <v>27</v>
      </c>
      <c r="B5" s="2">
        <v>227</v>
      </c>
      <c r="C5" s="1"/>
    </row>
    <row r="6" spans="1:3" x14ac:dyDescent="0.25">
      <c r="A6" t="s">
        <v>28</v>
      </c>
      <c r="B6" s="2">
        <v>27</v>
      </c>
      <c r="C6" s="1"/>
    </row>
    <row r="7" spans="1:3" x14ac:dyDescent="0.25">
      <c r="A7" t="s">
        <v>29</v>
      </c>
      <c r="B7" s="2">
        <v>41</v>
      </c>
      <c r="C7" s="1"/>
    </row>
    <row r="8" spans="1:3" x14ac:dyDescent="0.25">
      <c r="A8" t="s">
        <v>21</v>
      </c>
      <c r="B8" s="2">
        <v>4681</v>
      </c>
      <c r="C8" s="1"/>
    </row>
    <row r="9" spans="1:3" x14ac:dyDescent="0.25">
      <c r="A9" t="s">
        <v>11</v>
      </c>
      <c r="B9" s="2">
        <v>400</v>
      </c>
      <c r="C9" s="1"/>
    </row>
    <row r="10" spans="1:3" x14ac:dyDescent="0.25">
      <c r="B10" s="2"/>
      <c r="C10" s="1"/>
    </row>
    <row r="11" spans="1:3" x14ac:dyDescent="0.25">
      <c r="B11" s="2"/>
      <c r="C11" s="1"/>
    </row>
    <row r="12" spans="1:3" x14ac:dyDescent="0.25">
      <c r="B12" s="2">
        <f>SUM(B3:B11)</f>
        <v>6274</v>
      </c>
      <c r="C12" s="1"/>
    </row>
    <row r="13" spans="1:3" x14ac:dyDescent="0.25">
      <c r="B13" s="2"/>
      <c r="C13" s="1"/>
    </row>
    <row r="14" spans="1:3" x14ac:dyDescent="0.25">
      <c r="B14" s="2"/>
      <c r="C14" s="1"/>
    </row>
    <row r="15" spans="1:3" x14ac:dyDescent="0.25">
      <c r="B15" s="2"/>
      <c r="C15" s="1"/>
    </row>
    <row r="16" spans="1:3" x14ac:dyDescent="0.25">
      <c r="B16" s="2"/>
      <c r="C16" s="1"/>
    </row>
    <row r="17" spans="2:3" x14ac:dyDescent="0.25">
      <c r="B17" s="2"/>
      <c r="C17" s="1"/>
    </row>
    <row r="18" spans="2:3" x14ac:dyDescent="0.25">
      <c r="B18" s="2"/>
      <c r="C18" s="1"/>
    </row>
    <row r="19" spans="2:3" x14ac:dyDescent="0.25">
      <c r="B19" s="2"/>
      <c r="C19" s="1"/>
    </row>
    <row r="20" spans="2:3" x14ac:dyDescent="0.25">
      <c r="B20" s="2"/>
      <c r="C2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21" sqref="A21:B21"/>
    </sheetView>
  </sheetViews>
  <sheetFormatPr defaultRowHeight="15" x14ac:dyDescent="0.25"/>
  <cols>
    <col min="1" max="1" width="17.140625" customWidth="1"/>
    <col min="2" max="2" width="9.140625" style="4"/>
    <col min="3" max="3" width="9.140625" style="5"/>
  </cols>
  <sheetData>
    <row r="1" spans="1:2" x14ac:dyDescent="0.25">
      <c r="A1" t="s">
        <v>15</v>
      </c>
    </row>
    <row r="4" spans="1:2" x14ac:dyDescent="0.25">
      <c r="A4" t="s">
        <v>13</v>
      </c>
      <c r="B4" s="4">
        <v>1001</v>
      </c>
    </row>
    <row r="5" spans="1:2" x14ac:dyDescent="0.25">
      <c r="A5" t="s">
        <v>0</v>
      </c>
      <c r="B5" s="4">
        <v>355</v>
      </c>
    </row>
    <row r="6" spans="1:2" x14ac:dyDescent="0.25">
      <c r="A6" t="s">
        <v>1</v>
      </c>
      <c r="B6" s="4">
        <v>183</v>
      </c>
    </row>
    <row r="7" spans="1:2" x14ac:dyDescent="0.25">
      <c r="A7" t="s">
        <v>2</v>
      </c>
      <c r="B7" s="4">
        <v>7101</v>
      </c>
    </row>
    <row r="8" spans="1:2" x14ac:dyDescent="0.25">
      <c r="A8" t="s">
        <v>4</v>
      </c>
      <c r="B8" s="4">
        <v>5505</v>
      </c>
    </row>
    <row r="9" spans="1:2" x14ac:dyDescent="0.25">
      <c r="A9" t="s">
        <v>5</v>
      </c>
      <c r="B9" s="4">
        <v>11359</v>
      </c>
    </row>
    <row r="10" spans="1:2" x14ac:dyDescent="0.25">
      <c r="A10" t="s">
        <v>6</v>
      </c>
      <c r="B10" s="4">
        <v>977</v>
      </c>
    </row>
    <row r="11" spans="1:2" x14ac:dyDescent="0.25">
      <c r="A11" t="s">
        <v>18</v>
      </c>
      <c r="B11" s="4">
        <v>146</v>
      </c>
    </row>
    <row r="12" spans="1:2" x14ac:dyDescent="0.25">
      <c r="A12" t="s">
        <v>7</v>
      </c>
      <c r="B12" s="4">
        <v>86</v>
      </c>
    </row>
    <row r="13" spans="1:2" x14ac:dyDescent="0.25">
      <c r="A13" t="s">
        <v>8</v>
      </c>
      <c r="B13" s="4">
        <v>494</v>
      </c>
    </row>
    <row r="14" spans="1:2" x14ac:dyDescent="0.25">
      <c r="A14" t="s">
        <v>9</v>
      </c>
      <c r="B14" s="4">
        <v>638</v>
      </c>
    </row>
    <row r="15" spans="1:2" x14ac:dyDescent="0.25">
      <c r="A15" t="s">
        <v>17</v>
      </c>
      <c r="B15" s="4">
        <v>92</v>
      </c>
    </row>
    <row r="16" spans="1:2" x14ac:dyDescent="0.25">
      <c r="A16" t="s">
        <v>16</v>
      </c>
      <c r="B16" s="4">
        <v>25</v>
      </c>
    </row>
    <row r="17" spans="1:2" x14ac:dyDescent="0.25">
      <c r="A17" t="s">
        <v>10</v>
      </c>
      <c r="B17" s="4">
        <v>7972</v>
      </c>
    </row>
    <row r="18" spans="1:2" x14ac:dyDescent="0.25">
      <c r="A18" t="s">
        <v>11</v>
      </c>
      <c r="B18" s="4">
        <v>140</v>
      </c>
    </row>
    <row r="19" spans="1:2" x14ac:dyDescent="0.25">
      <c r="A19" t="s">
        <v>12</v>
      </c>
      <c r="B19" s="4">
        <v>1333</v>
      </c>
    </row>
    <row r="20" spans="1:2" x14ac:dyDescent="0.25">
      <c r="A20" t="s">
        <v>12</v>
      </c>
      <c r="B20" s="4">
        <v>507</v>
      </c>
    </row>
    <row r="23" spans="1:2" x14ac:dyDescent="0.25">
      <c r="B23" s="4">
        <f>SUM(B4:B22)</f>
        <v>37914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E16" sqref="E16"/>
    </sheetView>
  </sheetViews>
  <sheetFormatPr defaultRowHeight="15" x14ac:dyDescent="0.25"/>
  <sheetData>
    <row r="1" spans="1:3" x14ac:dyDescent="0.25">
      <c r="A1" t="s">
        <v>3</v>
      </c>
      <c r="B1" s="2"/>
      <c r="C1" s="1"/>
    </row>
    <row r="2" spans="1:3" x14ac:dyDescent="0.25">
      <c r="B2" s="2"/>
      <c r="C2" s="1"/>
    </row>
    <row r="3" spans="1:3" x14ac:dyDescent="0.25">
      <c r="B3" s="2"/>
      <c r="C3" s="1"/>
    </row>
    <row r="4" spans="1:3" x14ac:dyDescent="0.25">
      <c r="A4" t="s">
        <v>13</v>
      </c>
      <c r="B4" s="2">
        <v>2015</v>
      </c>
      <c r="C4" s="1"/>
    </row>
    <row r="5" spans="1:3" x14ac:dyDescent="0.25">
      <c r="A5" t="s">
        <v>0</v>
      </c>
      <c r="B5" s="2">
        <v>390</v>
      </c>
      <c r="C5" s="1"/>
    </row>
    <row r="6" spans="1:3" x14ac:dyDescent="0.25">
      <c r="A6" t="s">
        <v>1</v>
      </c>
      <c r="B6" s="2">
        <v>796</v>
      </c>
      <c r="C6" s="1"/>
    </row>
    <row r="7" spans="1:3" x14ac:dyDescent="0.25">
      <c r="A7" t="s">
        <v>2</v>
      </c>
      <c r="B7" s="2">
        <v>11206</v>
      </c>
      <c r="C7" s="1"/>
    </row>
    <row r="8" spans="1:3" x14ac:dyDescent="0.25">
      <c r="A8" t="s">
        <v>4</v>
      </c>
      <c r="B8" s="2">
        <v>6847</v>
      </c>
      <c r="C8" s="1"/>
    </row>
    <row r="9" spans="1:3" x14ac:dyDescent="0.25">
      <c r="A9" t="s">
        <v>5</v>
      </c>
      <c r="B9" s="2">
        <v>16590</v>
      </c>
      <c r="C9" s="1"/>
    </row>
    <row r="10" spans="1:3" x14ac:dyDescent="0.25">
      <c r="A10" t="s">
        <v>6</v>
      </c>
      <c r="B10" s="2">
        <v>1395</v>
      </c>
      <c r="C10" s="1"/>
    </row>
    <row r="11" spans="1:3" x14ac:dyDescent="0.25">
      <c r="A11" t="s">
        <v>7</v>
      </c>
      <c r="B11" s="2">
        <v>61</v>
      </c>
      <c r="C11" s="1"/>
    </row>
    <row r="12" spans="1:3" x14ac:dyDescent="0.25">
      <c r="A12" t="s">
        <v>8</v>
      </c>
      <c r="B12" s="2">
        <v>409</v>
      </c>
      <c r="C12" s="1"/>
    </row>
    <row r="13" spans="1:3" x14ac:dyDescent="0.25">
      <c r="A13" t="s">
        <v>9</v>
      </c>
      <c r="B13" s="2">
        <v>502</v>
      </c>
      <c r="C13" s="1"/>
    </row>
    <row r="14" spans="1:3" x14ac:dyDescent="0.25">
      <c r="A14" t="s">
        <v>10</v>
      </c>
      <c r="B14" s="2">
        <v>573</v>
      </c>
      <c r="C14" s="1"/>
    </row>
    <row r="15" spans="1:3" x14ac:dyDescent="0.25">
      <c r="A15" t="s">
        <v>11</v>
      </c>
      <c r="B15" s="2">
        <v>334</v>
      </c>
      <c r="C15" s="1"/>
    </row>
    <row r="16" spans="1:3" x14ac:dyDescent="0.25">
      <c r="A16" t="s">
        <v>12</v>
      </c>
      <c r="B16" s="2">
        <v>1176</v>
      </c>
      <c r="C16" s="1"/>
    </row>
    <row r="17" spans="1:3" x14ac:dyDescent="0.25">
      <c r="A17" t="s">
        <v>12</v>
      </c>
      <c r="B17" s="2">
        <v>637</v>
      </c>
      <c r="C17" s="1"/>
    </row>
    <row r="18" spans="1:3" x14ac:dyDescent="0.25">
      <c r="A18" t="s">
        <v>12</v>
      </c>
      <c r="B18" s="2">
        <v>1139</v>
      </c>
      <c r="C18" s="1"/>
    </row>
    <row r="19" spans="1:3" x14ac:dyDescent="0.25">
      <c r="B19" s="2"/>
      <c r="C19" s="1"/>
    </row>
    <row r="20" spans="1:3" x14ac:dyDescent="0.25">
      <c r="B20" s="2">
        <f>SUM(B4:B19)</f>
        <v>44070</v>
      </c>
      <c r="C2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4" sqref="A4:B16"/>
    </sheetView>
  </sheetViews>
  <sheetFormatPr defaultRowHeight="15" x14ac:dyDescent="0.25"/>
  <cols>
    <col min="1" max="1" width="11.7109375" customWidth="1"/>
  </cols>
  <sheetData>
    <row r="1" spans="1:3" x14ac:dyDescent="0.25">
      <c r="A1" t="s">
        <v>14</v>
      </c>
      <c r="B1" s="4"/>
      <c r="C1" s="5"/>
    </row>
    <row r="2" spans="1:3" x14ac:dyDescent="0.25">
      <c r="B2" s="4"/>
      <c r="C2" s="5"/>
    </row>
    <row r="3" spans="1:3" x14ac:dyDescent="0.25">
      <c r="B3" s="4"/>
      <c r="C3" s="5"/>
    </row>
    <row r="4" spans="1:3" x14ac:dyDescent="0.25">
      <c r="A4" t="s">
        <v>13</v>
      </c>
      <c r="B4" s="4">
        <v>1471</v>
      </c>
      <c r="C4" s="5"/>
    </row>
    <row r="5" spans="1:3" x14ac:dyDescent="0.25">
      <c r="A5" t="s">
        <v>2</v>
      </c>
      <c r="B5" s="4">
        <v>425</v>
      </c>
      <c r="C5" s="5"/>
    </row>
    <row r="6" spans="1:3" x14ac:dyDescent="0.25">
      <c r="A6" t="s">
        <v>18</v>
      </c>
      <c r="B6" s="4">
        <v>165</v>
      </c>
      <c r="C6" s="5"/>
    </row>
    <row r="7" spans="1:3" x14ac:dyDescent="0.25">
      <c r="A7" t="s">
        <v>0</v>
      </c>
      <c r="B7" s="4">
        <v>415</v>
      </c>
      <c r="C7" s="5"/>
    </row>
    <row r="8" spans="1:3" x14ac:dyDescent="0.25">
      <c r="A8" t="s">
        <v>1</v>
      </c>
      <c r="B8" s="4">
        <v>382</v>
      </c>
      <c r="C8" s="5"/>
    </row>
    <row r="9" spans="1:3" x14ac:dyDescent="0.25">
      <c r="A9" t="s">
        <v>19</v>
      </c>
      <c r="B9" s="4">
        <v>8487</v>
      </c>
      <c r="C9" s="5"/>
    </row>
    <row r="10" spans="1:3" x14ac:dyDescent="0.25">
      <c r="A10" t="s">
        <v>9</v>
      </c>
      <c r="B10" s="4">
        <v>1274</v>
      </c>
      <c r="C10" s="5"/>
    </row>
    <row r="11" spans="1:3" x14ac:dyDescent="0.25">
      <c r="A11" t="s">
        <v>7</v>
      </c>
      <c r="B11" s="4">
        <v>131</v>
      </c>
      <c r="C11" s="5"/>
    </row>
    <row r="12" spans="1:3" x14ac:dyDescent="0.25">
      <c r="A12" t="s">
        <v>8</v>
      </c>
      <c r="B12" s="4">
        <v>285</v>
      </c>
      <c r="C12" s="5"/>
    </row>
    <row r="13" spans="1:3" x14ac:dyDescent="0.25">
      <c r="A13" t="s">
        <v>20</v>
      </c>
      <c r="B13" s="4">
        <v>12292</v>
      </c>
      <c r="C13" s="5"/>
    </row>
    <row r="14" spans="1:3" x14ac:dyDescent="0.25">
      <c r="A14" t="s">
        <v>21</v>
      </c>
      <c r="B14" s="4">
        <v>8834</v>
      </c>
      <c r="C14" s="5"/>
    </row>
    <row r="15" spans="1:3" x14ac:dyDescent="0.25">
      <c r="A15" t="s">
        <v>11</v>
      </c>
      <c r="B15" s="4">
        <v>490</v>
      </c>
      <c r="C15" s="5"/>
    </row>
    <row r="16" spans="1:3" x14ac:dyDescent="0.25">
      <c r="A16" t="s">
        <v>12</v>
      </c>
      <c r="B16" s="4">
        <v>3465</v>
      </c>
      <c r="C16" s="5"/>
    </row>
    <row r="17" spans="2:3" x14ac:dyDescent="0.25">
      <c r="B17" s="4"/>
      <c r="C17" s="5"/>
    </row>
    <row r="18" spans="2:3" x14ac:dyDescent="0.25">
      <c r="B18" s="4"/>
      <c r="C18" s="5"/>
    </row>
    <row r="19" spans="2:3" x14ac:dyDescent="0.25">
      <c r="B19" s="4">
        <f>SUM(B4:B18)</f>
        <v>38116</v>
      </c>
      <c r="C19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7" sqref="B17"/>
    </sheetView>
  </sheetViews>
  <sheetFormatPr defaultRowHeight="15" x14ac:dyDescent="0.25"/>
  <cols>
    <col min="1" max="1" width="20.7109375" customWidth="1"/>
    <col min="2" max="2" width="9.140625" style="5"/>
  </cols>
  <sheetData>
    <row r="1" spans="1:2" x14ac:dyDescent="0.25">
      <c r="A1" t="s">
        <v>30</v>
      </c>
    </row>
    <row r="4" spans="1:2" x14ac:dyDescent="0.25">
      <c r="A4" t="s">
        <v>13</v>
      </c>
      <c r="B4" s="4">
        <v>1492</v>
      </c>
    </row>
    <row r="5" spans="1:2" x14ac:dyDescent="0.25">
      <c r="A5" t="s">
        <v>2</v>
      </c>
      <c r="B5" s="4">
        <v>799</v>
      </c>
    </row>
    <row r="6" spans="1:2" x14ac:dyDescent="0.25">
      <c r="A6" t="s">
        <v>18</v>
      </c>
      <c r="B6" s="4">
        <v>114</v>
      </c>
    </row>
    <row r="7" spans="1:2" x14ac:dyDescent="0.25">
      <c r="A7" t="s">
        <v>0</v>
      </c>
      <c r="B7" s="4">
        <v>421</v>
      </c>
    </row>
    <row r="8" spans="1:2" x14ac:dyDescent="0.25">
      <c r="A8" t="s">
        <v>1</v>
      </c>
      <c r="B8" s="4">
        <v>392</v>
      </c>
    </row>
    <row r="9" spans="1:2" x14ac:dyDescent="0.25">
      <c r="A9" t="s">
        <v>19</v>
      </c>
      <c r="B9" s="4">
        <v>6231</v>
      </c>
    </row>
    <row r="10" spans="1:2" x14ac:dyDescent="0.25">
      <c r="A10" t="s">
        <v>9</v>
      </c>
      <c r="B10" s="4">
        <v>642</v>
      </c>
    </row>
    <row r="11" spans="1:2" x14ac:dyDescent="0.25">
      <c r="A11" t="s">
        <v>31</v>
      </c>
      <c r="B11" s="4">
        <v>235</v>
      </c>
    </row>
    <row r="12" spans="1:2" x14ac:dyDescent="0.25">
      <c r="A12" t="s">
        <v>8</v>
      </c>
      <c r="B12" s="4">
        <v>300</v>
      </c>
    </row>
    <row r="13" spans="1:2" x14ac:dyDescent="0.25">
      <c r="A13" t="s">
        <v>20</v>
      </c>
      <c r="B13" s="4">
        <v>6777</v>
      </c>
    </row>
    <row r="14" spans="1:2" x14ac:dyDescent="0.25">
      <c r="A14" t="s">
        <v>21</v>
      </c>
      <c r="B14" s="4">
        <v>16026</v>
      </c>
    </row>
    <row r="15" spans="1:2" x14ac:dyDescent="0.25">
      <c r="A15" t="s">
        <v>11</v>
      </c>
      <c r="B15" s="4">
        <v>209</v>
      </c>
    </row>
    <row r="16" spans="1:2" x14ac:dyDescent="0.25">
      <c r="A16" t="s">
        <v>12</v>
      </c>
      <c r="B16" s="4">
        <v>2858</v>
      </c>
    </row>
    <row r="17" spans="2:2" x14ac:dyDescent="0.25">
      <c r="B17" s="4">
        <f>SUM(B4:B16)</f>
        <v>36496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F24" sqref="F24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30</v>
      </c>
    </row>
    <row r="4" spans="1:2" x14ac:dyDescent="0.25">
      <c r="A4" t="s">
        <v>0</v>
      </c>
      <c r="B4">
        <v>441</v>
      </c>
    </row>
    <row r="5" spans="1:2" x14ac:dyDescent="0.25">
      <c r="A5" t="s">
        <v>13</v>
      </c>
      <c r="B5">
        <v>1509</v>
      </c>
    </row>
    <row r="6" spans="1:2" x14ac:dyDescent="0.25">
      <c r="A6" t="s">
        <v>1</v>
      </c>
      <c r="B6">
        <v>487</v>
      </c>
    </row>
    <row r="7" spans="1:2" x14ac:dyDescent="0.25">
      <c r="A7" t="s">
        <v>43</v>
      </c>
      <c r="B7">
        <v>650</v>
      </c>
    </row>
    <row r="8" spans="1:2" x14ac:dyDescent="0.25">
      <c r="A8" t="s">
        <v>41</v>
      </c>
      <c r="B8">
        <v>412</v>
      </c>
    </row>
    <row r="9" spans="1:2" x14ac:dyDescent="0.25">
      <c r="A9" t="s">
        <v>2</v>
      </c>
      <c r="B9">
        <v>1262</v>
      </c>
    </row>
    <row r="10" spans="1:2" x14ac:dyDescent="0.25">
      <c r="A10" t="s">
        <v>16</v>
      </c>
      <c r="B10">
        <v>0</v>
      </c>
    </row>
    <row r="11" spans="1:2" x14ac:dyDescent="0.25">
      <c r="A11" t="s">
        <v>23</v>
      </c>
      <c r="B11">
        <v>396</v>
      </c>
    </row>
    <row r="12" spans="1:2" x14ac:dyDescent="0.25">
      <c r="A12" t="s">
        <v>4</v>
      </c>
      <c r="B12">
        <v>5147</v>
      </c>
    </row>
    <row r="13" spans="1:2" x14ac:dyDescent="0.25">
      <c r="A13" t="s">
        <v>42</v>
      </c>
      <c r="B13">
        <v>2987</v>
      </c>
    </row>
    <row r="14" spans="1:2" x14ac:dyDescent="0.25">
      <c r="A14" t="s">
        <v>28</v>
      </c>
      <c r="B14">
        <v>0</v>
      </c>
    </row>
    <row r="15" spans="1:2" x14ac:dyDescent="0.25">
      <c r="A15" t="s">
        <v>44</v>
      </c>
      <c r="B15">
        <v>0</v>
      </c>
    </row>
    <row r="16" spans="1:2" x14ac:dyDescent="0.25">
      <c r="A16" t="s">
        <v>22</v>
      </c>
      <c r="B16">
        <v>0</v>
      </c>
    </row>
    <row r="17" spans="1:2" x14ac:dyDescent="0.25">
      <c r="A17" t="s">
        <v>45</v>
      </c>
      <c r="B17">
        <v>8335</v>
      </c>
    </row>
    <row r="18" spans="1:2" x14ac:dyDescent="0.25">
      <c r="A18" t="s">
        <v>18</v>
      </c>
      <c r="B18">
        <v>175</v>
      </c>
    </row>
    <row r="19" spans="1:2" x14ac:dyDescent="0.25">
      <c r="A19" t="s">
        <v>12</v>
      </c>
      <c r="B19">
        <v>2997</v>
      </c>
    </row>
    <row r="20" spans="1:2" x14ac:dyDescent="0.25">
      <c r="A20" t="s">
        <v>11</v>
      </c>
      <c r="B20">
        <v>359</v>
      </c>
    </row>
    <row r="21" spans="1:2" x14ac:dyDescent="0.25">
      <c r="A21" t="s">
        <v>7</v>
      </c>
      <c r="B21">
        <v>0</v>
      </c>
    </row>
    <row r="22" spans="1:2" x14ac:dyDescent="0.25">
      <c r="A22" t="s">
        <v>17</v>
      </c>
      <c r="B22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G19" sqref="G19"/>
    </sheetView>
  </sheetViews>
  <sheetFormatPr defaultRowHeight="15" x14ac:dyDescent="0.25"/>
  <sheetData>
    <row r="1" spans="1:3" x14ac:dyDescent="0.25">
      <c r="A1" t="s">
        <v>32</v>
      </c>
    </row>
    <row r="3" spans="1:3" x14ac:dyDescent="0.25">
      <c r="A3" t="s">
        <v>13</v>
      </c>
      <c r="C3">
        <v>981</v>
      </c>
    </row>
    <row r="4" spans="1:3" x14ac:dyDescent="0.25">
      <c r="A4" t="s">
        <v>2</v>
      </c>
      <c r="C4">
        <v>381</v>
      </c>
    </row>
    <row r="5" spans="1:3" x14ac:dyDescent="0.25">
      <c r="A5" t="s">
        <v>18</v>
      </c>
      <c r="C5">
        <v>0</v>
      </c>
    </row>
    <row r="6" spans="1:3" x14ac:dyDescent="0.25">
      <c r="A6" t="s">
        <v>0</v>
      </c>
      <c r="C6">
        <v>185</v>
      </c>
    </row>
    <row r="7" spans="1:3" x14ac:dyDescent="0.25">
      <c r="A7" t="s">
        <v>1</v>
      </c>
      <c r="C7">
        <v>0</v>
      </c>
    </row>
    <row r="8" spans="1:3" x14ac:dyDescent="0.25">
      <c r="A8" t="s">
        <v>19</v>
      </c>
      <c r="C8">
        <v>5272</v>
      </c>
    </row>
    <row r="9" spans="1:3" x14ac:dyDescent="0.25">
      <c r="A9" t="s">
        <v>9</v>
      </c>
      <c r="C9">
        <v>567</v>
      </c>
    </row>
    <row r="10" spans="1:3" x14ac:dyDescent="0.25">
      <c r="A10" t="s">
        <v>31</v>
      </c>
      <c r="C10">
        <v>246</v>
      </c>
    </row>
    <row r="11" spans="1:3" x14ac:dyDescent="0.25">
      <c r="A11" t="s">
        <v>8</v>
      </c>
      <c r="C11">
        <v>385</v>
      </c>
    </row>
    <row r="12" spans="1:3" x14ac:dyDescent="0.25">
      <c r="A12" t="s">
        <v>20</v>
      </c>
      <c r="C12">
        <v>3662</v>
      </c>
    </row>
    <row r="13" spans="1:3" x14ac:dyDescent="0.25">
      <c r="A13" t="s">
        <v>21</v>
      </c>
      <c r="C13">
        <v>13957</v>
      </c>
    </row>
    <row r="14" spans="1:3" x14ac:dyDescent="0.25">
      <c r="A14" t="s">
        <v>11</v>
      </c>
      <c r="C14">
        <v>150</v>
      </c>
    </row>
    <row r="15" spans="1:3" x14ac:dyDescent="0.25">
      <c r="A15" t="s">
        <v>12</v>
      </c>
      <c r="C15">
        <v>1893</v>
      </c>
    </row>
    <row r="16" spans="1:3" x14ac:dyDescent="0.25">
      <c r="A16" t="s">
        <v>17</v>
      </c>
      <c r="C16">
        <v>99</v>
      </c>
    </row>
    <row r="17" spans="1:3" x14ac:dyDescent="0.25">
      <c r="A17" t="s">
        <v>28</v>
      </c>
      <c r="C17">
        <v>32</v>
      </c>
    </row>
    <row r="18" spans="1:3" x14ac:dyDescent="0.25">
      <c r="C18">
        <f>SUM(C3:C17)</f>
        <v>27810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E17" sqref="E17"/>
    </sheetView>
  </sheetViews>
  <sheetFormatPr defaultRowHeight="15" x14ac:dyDescent="0.25"/>
  <cols>
    <col min="1" max="1" width="18.85546875" customWidth="1"/>
  </cols>
  <sheetData>
    <row r="1" spans="1:2" x14ac:dyDescent="0.25">
      <c r="A1" t="s">
        <v>49</v>
      </c>
    </row>
    <row r="3" spans="1:2" x14ac:dyDescent="0.25">
      <c r="A3" t="s">
        <v>0</v>
      </c>
      <c r="B3">
        <v>450</v>
      </c>
    </row>
    <row r="4" spans="1:2" x14ac:dyDescent="0.25">
      <c r="A4" t="s">
        <v>13</v>
      </c>
      <c r="B4">
        <v>966</v>
      </c>
    </row>
    <row r="5" spans="1:2" x14ac:dyDescent="0.25">
      <c r="A5" t="s">
        <v>1</v>
      </c>
      <c r="B5">
        <v>380</v>
      </c>
    </row>
    <row r="6" spans="1:2" x14ac:dyDescent="0.25">
      <c r="A6" t="s">
        <v>43</v>
      </c>
      <c r="B6">
        <v>540</v>
      </c>
    </row>
    <row r="7" spans="1:2" x14ac:dyDescent="0.25">
      <c r="A7" t="s">
        <v>41</v>
      </c>
      <c r="B7">
        <v>0</v>
      </c>
    </row>
    <row r="8" spans="1:2" x14ac:dyDescent="0.25">
      <c r="A8" t="s">
        <v>2</v>
      </c>
      <c r="B8">
        <v>855</v>
      </c>
    </row>
    <row r="9" spans="1:2" x14ac:dyDescent="0.25">
      <c r="A9" t="s">
        <v>16</v>
      </c>
      <c r="B9">
        <v>0</v>
      </c>
    </row>
    <row r="10" spans="1:2" x14ac:dyDescent="0.25">
      <c r="A10" t="s">
        <v>23</v>
      </c>
      <c r="B10">
        <v>349</v>
      </c>
    </row>
    <row r="11" spans="1:2" x14ac:dyDescent="0.25">
      <c r="A11" t="s">
        <v>4</v>
      </c>
      <c r="B11">
        <v>5206</v>
      </c>
    </row>
    <row r="12" spans="1:2" x14ac:dyDescent="0.25">
      <c r="A12" t="s">
        <v>42</v>
      </c>
      <c r="B12">
        <v>9589</v>
      </c>
    </row>
    <row r="13" spans="1:2" x14ac:dyDescent="0.25">
      <c r="A13" t="s">
        <v>28</v>
      </c>
      <c r="B13">
        <v>0</v>
      </c>
    </row>
    <row r="14" spans="1:2" x14ac:dyDescent="0.25">
      <c r="A14" t="s">
        <v>44</v>
      </c>
      <c r="B14">
        <v>0</v>
      </c>
    </row>
    <row r="15" spans="1:2" x14ac:dyDescent="0.25">
      <c r="A15" t="s">
        <v>22</v>
      </c>
      <c r="B15">
        <v>0</v>
      </c>
    </row>
    <row r="16" spans="1:2" x14ac:dyDescent="0.25">
      <c r="A16" t="s">
        <v>45</v>
      </c>
      <c r="B16">
        <v>7498</v>
      </c>
    </row>
    <row r="17" spans="1:2" x14ac:dyDescent="0.25">
      <c r="A17" t="s">
        <v>18</v>
      </c>
      <c r="B17">
        <v>0</v>
      </c>
    </row>
    <row r="18" spans="1:2" x14ac:dyDescent="0.25">
      <c r="A18" t="s">
        <v>12</v>
      </c>
      <c r="B18">
        <v>0</v>
      </c>
    </row>
    <row r="19" spans="1:2" x14ac:dyDescent="0.25">
      <c r="A19" t="s">
        <v>11</v>
      </c>
      <c r="B19">
        <v>205</v>
      </c>
    </row>
    <row r="20" spans="1:2" x14ac:dyDescent="0.25">
      <c r="A20" t="s">
        <v>7</v>
      </c>
      <c r="B20">
        <v>45</v>
      </c>
    </row>
    <row r="21" spans="1:2" x14ac:dyDescent="0.25">
      <c r="A21" t="s">
        <v>17</v>
      </c>
      <c r="B21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pane ySplit="1" topLeftCell="A14" activePane="bottomLeft" state="frozen"/>
      <selection pane="bottomLeft" activeCell="A30" sqref="A30"/>
    </sheetView>
  </sheetViews>
  <sheetFormatPr defaultRowHeight="15" x14ac:dyDescent="0.25"/>
  <cols>
    <col min="1" max="1" width="16.28515625" customWidth="1"/>
    <col min="2" max="2" width="10.5703125" style="5" bestFit="1" customWidth="1"/>
    <col min="3" max="3" width="8" style="5" customWidth="1"/>
    <col min="4" max="5" width="10.42578125" style="3" customWidth="1"/>
    <col min="6" max="6" width="12.5703125" style="5" bestFit="1" customWidth="1"/>
    <col min="7" max="7" width="10.140625" style="5" bestFit="1" customWidth="1"/>
    <col min="8" max="8" width="12.140625" style="5" customWidth="1"/>
    <col min="9" max="10" width="11.5703125" style="5" bestFit="1" customWidth="1"/>
    <col min="11" max="12" width="11.28515625" style="5" customWidth="1"/>
    <col min="13" max="13" width="11.5703125" style="5" bestFit="1" customWidth="1"/>
    <col min="14" max="15" width="9.140625" style="5"/>
    <col min="16" max="16" width="10.28515625" style="5" customWidth="1"/>
    <col min="17" max="17" width="8.28515625" style="5" customWidth="1"/>
    <col min="18" max="18" width="16.85546875" style="5" customWidth="1"/>
    <col min="19" max="19" width="9.140625" style="3"/>
    <col min="20" max="20" width="11.5703125" style="3" customWidth="1"/>
    <col min="21" max="21" width="11.85546875" style="5" customWidth="1"/>
    <col min="22" max="22" width="13.42578125" style="3" customWidth="1"/>
  </cols>
  <sheetData>
    <row r="1" spans="1:23" s="11" customFormat="1" ht="48" thickBot="1" x14ac:dyDescent="0.3">
      <c r="A1" s="17"/>
      <c r="B1" s="12" t="s">
        <v>33</v>
      </c>
      <c r="C1" s="21" t="s">
        <v>34</v>
      </c>
      <c r="D1" s="28" t="s">
        <v>35</v>
      </c>
      <c r="E1" s="46" t="s">
        <v>36</v>
      </c>
      <c r="F1" s="47"/>
      <c r="G1" s="46" t="s">
        <v>37</v>
      </c>
      <c r="H1" s="47"/>
      <c r="I1" s="46" t="s">
        <v>38</v>
      </c>
      <c r="J1" s="47"/>
      <c r="K1" s="21" t="s">
        <v>39</v>
      </c>
      <c r="L1" s="46" t="s">
        <v>40</v>
      </c>
      <c r="M1" s="47"/>
      <c r="N1" s="46" t="s">
        <v>46</v>
      </c>
      <c r="O1" s="47"/>
      <c r="P1" s="21" t="s">
        <v>47</v>
      </c>
      <c r="Q1" s="21" t="s">
        <v>48</v>
      </c>
      <c r="R1" s="13" t="s">
        <v>58</v>
      </c>
      <c r="S1" s="22" t="s">
        <v>54</v>
      </c>
      <c r="T1" s="22" t="s">
        <v>55</v>
      </c>
      <c r="U1" s="13" t="s">
        <v>56</v>
      </c>
      <c r="V1" s="22" t="s">
        <v>57</v>
      </c>
    </row>
    <row r="2" spans="1:23" s="11" customFormat="1" ht="15.75" x14ac:dyDescent="0.25">
      <c r="A2" s="31"/>
      <c r="B2" s="32"/>
      <c r="C2" s="33"/>
      <c r="D2" s="34"/>
      <c r="E2" s="35" t="s">
        <v>73</v>
      </c>
      <c r="F2" s="36" t="s">
        <v>86</v>
      </c>
      <c r="G2" s="35" t="s">
        <v>73</v>
      </c>
      <c r="H2" s="36" t="s">
        <v>87</v>
      </c>
      <c r="I2" s="36" t="s">
        <v>73</v>
      </c>
      <c r="J2" s="36" t="s">
        <v>85</v>
      </c>
      <c r="K2" s="33"/>
      <c r="L2" s="33" t="s">
        <v>73</v>
      </c>
      <c r="M2" s="33" t="s">
        <v>88</v>
      </c>
      <c r="N2" s="33" t="s">
        <v>73</v>
      </c>
      <c r="O2" s="33" t="s">
        <v>89</v>
      </c>
      <c r="P2" s="33"/>
      <c r="Q2" s="32"/>
      <c r="R2" s="37"/>
      <c r="S2" s="38"/>
      <c r="T2" s="38"/>
      <c r="U2" s="37"/>
      <c r="V2" s="38"/>
    </row>
    <row r="3" spans="1:23" x14ac:dyDescent="0.25">
      <c r="A3" t="s">
        <v>0</v>
      </c>
      <c r="B3" s="20">
        <v>161</v>
      </c>
      <c r="C3" s="18" t="s">
        <v>62</v>
      </c>
      <c r="D3" s="18">
        <v>377</v>
      </c>
      <c r="E3" s="18">
        <v>678</v>
      </c>
      <c r="F3" s="18">
        <v>279</v>
      </c>
      <c r="G3" s="18">
        <v>825</v>
      </c>
      <c r="H3" s="18">
        <v>56</v>
      </c>
      <c r="I3" s="18">
        <v>397</v>
      </c>
      <c r="J3" s="18">
        <v>56</v>
      </c>
      <c r="K3" s="18">
        <v>228</v>
      </c>
      <c r="L3" s="18">
        <v>204</v>
      </c>
      <c r="M3" s="18">
        <v>423</v>
      </c>
      <c r="N3" s="18"/>
      <c r="O3" s="18"/>
      <c r="P3" s="18"/>
      <c r="Q3" s="4"/>
      <c r="R3" s="18">
        <f t="shared" ref="R3:R27" si="0">SUM(B3:Q3)</f>
        <v>3684</v>
      </c>
      <c r="S3" s="19">
        <v>0.48</v>
      </c>
      <c r="T3" s="19">
        <f>R3*S3</f>
        <v>1768.32</v>
      </c>
      <c r="U3" s="18">
        <f>5558-700</f>
        <v>4858</v>
      </c>
      <c r="V3" s="19">
        <f>T3/U3</f>
        <v>0.36400164676821734</v>
      </c>
      <c r="W3" s="6"/>
    </row>
    <row r="4" spans="1:23" x14ac:dyDescent="0.25">
      <c r="A4" s="14" t="s">
        <v>13</v>
      </c>
      <c r="B4" s="15">
        <v>371</v>
      </c>
      <c r="C4" s="18" t="s">
        <v>62</v>
      </c>
      <c r="D4" s="15">
        <v>1608</v>
      </c>
      <c r="E4" s="15">
        <v>1534</v>
      </c>
      <c r="F4" s="15">
        <v>1027</v>
      </c>
      <c r="G4" s="15">
        <v>1562</v>
      </c>
      <c r="H4" s="15">
        <f>567+268</f>
        <v>835</v>
      </c>
      <c r="I4" s="15">
        <v>993</v>
      </c>
      <c r="J4" s="15">
        <v>268</v>
      </c>
      <c r="K4" s="15">
        <v>1052</v>
      </c>
      <c r="L4" s="15">
        <v>999</v>
      </c>
      <c r="M4" s="15">
        <v>844</v>
      </c>
      <c r="N4" s="15"/>
      <c r="O4" s="15"/>
      <c r="P4" s="15"/>
      <c r="Q4" s="15"/>
      <c r="R4" s="15">
        <f t="shared" si="0"/>
        <v>11093</v>
      </c>
      <c r="S4" s="16">
        <v>0.75</v>
      </c>
      <c r="T4" s="16">
        <f t="shared" ref="T4:T27" si="1">R4*S4</f>
        <v>8319.75</v>
      </c>
      <c r="U4" s="18">
        <f t="shared" ref="U4:U28" si="2">5558-700</f>
        <v>4858</v>
      </c>
      <c r="V4" s="16">
        <f t="shared" ref="V4:V28" si="3">T4/U4</f>
        <v>1.7125874845615479</v>
      </c>
      <c r="W4" s="6"/>
    </row>
    <row r="5" spans="1:23" x14ac:dyDescent="0.25">
      <c r="A5" s="14" t="s">
        <v>51</v>
      </c>
      <c r="B5" s="15">
        <v>0</v>
      </c>
      <c r="C5" s="18" t="s">
        <v>62</v>
      </c>
      <c r="D5" s="15">
        <v>0</v>
      </c>
      <c r="E5" s="18" t="s">
        <v>62</v>
      </c>
      <c r="F5" s="15">
        <v>26</v>
      </c>
      <c r="G5" s="18" t="s">
        <v>62</v>
      </c>
      <c r="H5" s="15">
        <v>7</v>
      </c>
      <c r="I5" s="15" t="s">
        <v>62</v>
      </c>
      <c r="J5" s="15">
        <v>7</v>
      </c>
      <c r="K5" s="15">
        <v>502</v>
      </c>
      <c r="L5" s="15" t="s">
        <v>62</v>
      </c>
      <c r="M5" s="15">
        <v>114</v>
      </c>
      <c r="N5" s="15"/>
      <c r="O5" s="15"/>
      <c r="P5" s="15"/>
      <c r="Q5" s="15"/>
      <c r="R5" s="15">
        <f t="shared" si="0"/>
        <v>656</v>
      </c>
      <c r="S5" s="16">
        <v>0.32</v>
      </c>
      <c r="T5" s="16">
        <f t="shared" si="1"/>
        <v>209.92000000000002</v>
      </c>
      <c r="U5" s="18">
        <f t="shared" si="2"/>
        <v>4858</v>
      </c>
      <c r="V5" s="16">
        <f t="shared" si="3"/>
        <v>4.3211198023878142E-2</v>
      </c>
      <c r="W5" s="6"/>
    </row>
    <row r="6" spans="1:23" x14ac:dyDescent="0.25">
      <c r="A6" s="14" t="s">
        <v>1</v>
      </c>
      <c r="B6" s="15">
        <v>198</v>
      </c>
      <c r="C6" s="18" t="s">
        <v>62</v>
      </c>
      <c r="D6" s="15">
        <v>312</v>
      </c>
      <c r="E6" s="15">
        <v>512</v>
      </c>
      <c r="F6" s="15">
        <v>298</v>
      </c>
      <c r="G6" s="15">
        <v>341</v>
      </c>
      <c r="H6" s="15">
        <f>186+43</f>
        <v>229</v>
      </c>
      <c r="I6" s="15">
        <v>198</v>
      </c>
      <c r="J6" s="15">
        <v>43</v>
      </c>
      <c r="K6" s="15">
        <v>207</v>
      </c>
      <c r="L6" s="15">
        <v>232</v>
      </c>
      <c r="M6" s="15">
        <v>790</v>
      </c>
      <c r="N6" s="15"/>
      <c r="O6" s="15"/>
      <c r="P6" s="15"/>
      <c r="Q6" s="15"/>
      <c r="R6" s="15">
        <f t="shared" si="0"/>
        <v>3360</v>
      </c>
      <c r="S6" s="16">
        <v>0.48</v>
      </c>
      <c r="T6" s="16">
        <f t="shared" si="1"/>
        <v>1612.8</v>
      </c>
      <c r="U6" s="18">
        <f t="shared" si="2"/>
        <v>4858</v>
      </c>
      <c r="V6" s="16">
        <f t="shared" si="3"/>
        <v>0.33198847262247838</v>
      </c>
      <c r="W6" s="6"/>
    </row>
    <row r="7" spans="1:23" x14ac:dyDescent="0.25">
      <c r="A7" s="14" t="s">
        <v>74</v>
      </c>
      <c r="B7" s="18" t="s">
        <v>62</v>
      </c>
      <c r="C7" s="18" t="s">
        <v>62</v>
      </c>
      <c r="D7" s="18" t="s">
        <v>62</v>
      </c>
      <c r="E7" s="18" t="s">
        <v>62</v>
      </c>
      <c r="F7" s="15">
        <v>322</v>
      </c>
      <c r="G7" s="18" t="s">
        <v>62</v>
      </c>
      <c r="H7" s="15">
        <v>96</v>
      </c>
      <c r="I7" s="15" t="s">
        <v>62</v>
      </c>
      <c r="J7" s="15" t="s">
        <v>62</v>
      </c>
      <c r="K7" s="15" t="s">
        <v>62</v>
      </c>
      <c r="L7" s="15" t="s">
        <v>62</v>
      </c>
      <c r="M7" s="15">
        <v>211</v>
      </c>
      <c r="N7" s="15"/>
      <c r="O7" s="15"/>
      <c r="P7" s="15"/>
      <c r="Q7" s="15"/>
      <c r="R7" s="15">
        <f t="shared" si="0"/>
        <v>629</v>
      </c>
      <c r="S7" s="16">
        <v>0.15</v>
      </c>
      <c r="T7" s="16">
        <f t="shared" si="1"/>
        <v>94.35</v>
      </c>
      <c r="U7" s="18">
        <f t="shared" si="2"/>
        <v>4858</v>
      </c>
      <c r="V7" s="16">
        <f t="shared" si="3"/>
        <v>1.942157266364759E-2</v>
      </c>
      <c r="W7" s="6"/>
    </row>
    <row r="8" spans="1:23" x14ac:dyDescent="0.25">
      <c r="A8" s="14" t="s">
        <v>43</v>
      </c>
      <c r="B8" s="15">
        <v>0</v>
      </c>
      <c r="C8" s="18" t="s">
        <v>62</v>
      </c>
      <c r="D8" s="15">
        <v>540</v>
      </c>
      <c r="E8" s="15">
        <v>644</v>
      </c>
      <c r="F8" s="15">
        <v>2154</v>
      </c>
      <c r="G8" s="18" t="s">
        <v>62</v>
      </c>
      <c r="H8" s="15">
        <f>827+76</f>
        <v>903</v>
      </c>
      <c r="I8" s="15">
        <v>684</v>
      </c>
      <c r="J8" s="15">
        <v>76</v>
      </c>
      <c r="K8" s="15">
        <v>678</v>
      </c>
      <c r="L8" s="15" t="s">
        <v>62</v>
      </c>
      <c r="M8" s="15">
        <v>1131</v>
      </c>
      <c r="N8" s="15"/>
      <c r="O8" s="15"/>
      <c r="P8" s="15"/>
      <c r="Q8" s="15"/>
      <c r="R8" s="15">
        <f t="shared" si="0"/>
        <v>6810</v>
      </c>
      <c r="S8" s="16">
        <v>0.75</v>
      </c>
      <c r="T8" s="16">
        <f t="shared" si="1"/>
        <v>5107.5</v>
      </c>
      <c r="U8" s="18">
        <f t="shared" si="2"/>
        <v>4858</v>
      </c>
      <c r="V8" s="16">
        <f t="shared" si="3"/>
        <v>1.0513585837793331</v>
      </c>
      <c r="W8" s="6"/>
    </row>
    <row r="9" spans="1:23" x14ac:dyDescent="0.25">
      <c r="A9" s="14" t="s">
        <v>41</v>
      </c>
      <c r="B9" s="15">
        <v>0</v>
      </c>
      <c r="C9" s="18" t="s">
        <v>62</v>
      </c>
      <c r="D9" s="15">
        <v>216</v>
      </c>
      <c r="E9" s="15">
        <v>250</v>
      </c>
      <c r="F9" s="15">
        <v>165</v>
      </c>
      <c r="G9" s="15">
        <v>235</v>
      </c>
      <c r="H9" s="15">
        <f>55+8</f>
        <v>63</v>
      </c>
      <c r="I9" s="15">
        <v>219</v>
      </c>
      <c r="J9" s="15">
        <v>8</v>
      </c>
      <c r="K9" s="15">
        <v>267</v>
      </c>
      <c r="L9" s="15">
        <v>241</v>
      </c>
      <c r="M9" s="15">
        <v>238</v>
      </c>
      <c r="N9" s="15"/>
      <c r="O9" s="15"/>
      <c r="P9" s="15"/>
      <c r="Q9" s="15"/>
      <c r="R9" s="15">
        <f t="shared" si="0"/>
        <v>1902</v>
      </c>
      <c r="S9" s="16">
        <v>0.82</v>
      </c>
      <c r="T9" s="16">
        <f t="shared" si="1"/>
        <v>1559.6399999999999</v>
      </c>
      <c r="U9" s="18">
        <f t="shared" si="2"/>
        <v>4858</v>
      </c>
      <c r="V9" s="16">
        <f t="shared" si="3"/>
        <v>0.32104569781803211</v>
      </c>
      <c r="W9" s="6"/>
    </row>
    <row r="10" spans="1:23" x14ac:dyDescent="0.25">
      <c r="A10" s="14" t="s">
        <v>2</v>
      </c>
      <c r="B10" s="15">
        <v>0</v>
      </c>
      <c r="C10" s="18" t="s">
        <v>62</v>
      </c>
      <c r="D10" s="15">
        <v>693</v>
      </c>
      <c r="E10" s="15">
        <v>1321</v>
      </c>
      <c r="F10" s="15">
        <v>370</v>
      </c>
      <c r="G10" s="15">
        <v>467</v>
      </c>
      <c r="H10" s="15">
        <f>80+185</f>
        <v>265</v>
      </c>
      <c r="I10" s="15"/>
      <c r="J10" s="15">
        <v>185</v>
      </c>
      <c r="K10" s="15">
        <v>402</v>
      </c>
      <c r="L10" s="15" t="s">
        <v>62</v>
      </c>
      <c r="M10" s="15">
        <v>105</v>
      </c>
      <c r="N10" s="15"/>
      <c r="O10" s="15"/>
      <c r="P10" s="15"/>
      <c r="Q10" s="15"/>
      <c r="R10" s="15">
        <f t="shared" si="0"/>
        <v>3808</v>
      </c>
      <c r="S10" s="16">
        <v>0.35</v>
      </c>
      <c r="T10" s="16">
        <f t="shared" si="1"/>
        <v>1332.8</v>
      </c>
      <c r="U10" s="18">
        <f t="shared" si="2"/>
        <v>4858</v>
      </c>
      <c r="V10" s="16">
        <f t="shared" si="3"/>
        <v>0.2743515850144092</v>
      </c>
      <c r="W10" s="6"/>
    </row>
    <row r="11" spans="1:23" x14ac:dyDescent="0.25">
      <c r="A11" s="14" t="s">
        <v>16</v>
      </c>
      <c r="B11" s="15">
        <v>0</v>
      </c>
      <c r="C11" s="18" t="s">
        <v>62</v>
      </c>
      <c r="D11" s="15">
        <v>0</v>
      </c>
      <c r="E11" s="18" t="s">
        <v>62</v>
      </c>
      <c r="F11" s="15" t="s">
        <v>62</v>
      </c>
      <c r="G11" s="15" t="s">
        <v>62</v>
      </c>
      <c r="H11" s="15" t="s">
        <v>62</v>
      </c>
      <c r="I11" s="15" t="s">
        <v>62</v>
      </c>
      <c r="J11" s="15">
        <v>4</v>
      </c>
      <c r="K11" s="15" t="s">
        <v>62</v>
      </c>
      <c r="L11" s="15" t="s">
        <v>62</v>
      </c>
      <c r="M11" s="15" t="s">
        <v>62</v>
      </c>
      <c r="N11" s="15"/>
      <c r="O11" s="15"/>
      <c r="P11" s="15"/>
      <c r="Q11" s="15"/>
      <c r="R11" s="15">
        <f t="shared" si="0"/>
        <v>4</v>
      </c>
      <c r="S11" s="16">
        <v>5</v>
      </c>
      <c r="T11" s="16">
        <f t="shared" si="1"/>
        <v>20</v>
      </c>
      <c r="U11" s="18">
        <f t="shared" si="2"/>
        <v>4858</v>
      </c>
      <c r="V11" s="16">
        <f t="shared" si="3"/>
        <v>4.1169205434335113E-3</v>
      </c>
      <c r="W11" s="6"/>
    </row>
    <row r="12" spans="1:23" x14ac:dyDescent="0.25">
      <c r="A12" s="14" t="s">
        <v>23</v>
      </c>
      <c r="B12" s="15">
        <v>40</v>
      </c>
      <c r="C12" s="18" t="s">
        <v>62</v>
      </c>
      <c r="D12" s="15">
        <v>402</v>
      </c>
      <c r="E12" s="15">
        <v>378</v>
      </c>
      <c r="F12" s="15">
        <v>256</v>
      </c>
      <c r="G12" s="15">
        <v>358</v>
      </c>
      <c r="H12" s="15">
        <f>103+42</f>
        <v>145</v>
      </c>
      <c r="I12" s="15">
        <v>350</v>
      </c>
      <c r="J12" s="15">
        <v>42</v>
      </c>
      <c r="K12" s="15">
        <v>599</v>
      </c>
      <c r="L12" s="15">
        <v>225</v>
      </c>
      <c r="M12" s="15">
        <v>276</v>
      </c>
      <c r="N12" s="15"/>
      <c r="O12" s="15"/>
      <c r="P12" s="15"/>
      <c r="Q12" s="15"/>
      <c r="R12" s="15">
        <f t="shared" si="0"/>
        <v>3071</v>
      </c>
      <c r="S12" s="16">
        <v>0.5</v>
      </c>
      <c r="T12" s="16">
        <f t="shared" si="1"/>
        <v>1535.5</v>
      </c>
      <c r="U12" s="18">
        <f t="shared" si="2"/>
        <v>4858</v>
      </c>
      <c r="V12" s="16">
        <f t="shared" si="3"/>
        <v>0.31607657472210787</v>
      </c>
      <c r="W12" s="6"/>
    </row>
    <row r="13" spans="1:23" x14ac:dyDescent="0.25">
      <c r="A13" s="14" t="s">
        <v>4</v>
      </c>
      <c r="B13" s="15">
        <v>0</v>
      </c>
      <c r="C13" s="18" t="s">
        <v>62</v>
      </c>
      <c r="D13" s="15">
        <v>5917</v>
      </c>
      <c r="E13" s="15">
        <v>8850</v>
      </c>
      <c r="F13" s="15" t="s">
        <v>62</v>
      </c>
      <c r="G13" s="15">
        <v>3520</v>
      </c>
      <c r="H13" s="15" t="s">
        <v>62</v>
      </c>
      <c r="I13" s="15">
        <v>1935</v>
      </c>
      <c r="J13" s="15" t="s">
        <v>62</v>
      </c>
      <c r="K13" s="15">
        <v>3166</v>
      </c>
      <c r="L13" s="15">
        <v>7713</v>
      </c>
      <c r="M13" s="15" t="s">
        <v>62</v>
      </c>
      <c r="N13" s="15"/>
      <c r="O13" s="15"/>
      <c r="P13" s="15"/>
      <c r="Q13" s="15"/>
      <c r="R13" s="15">
        <f t="shared" si="0"/>
        <v>31101</v>
      </c>
      <c r="S13" s="16">
        <v>0.45</v>
      </c>
      <c r="T13" s="16">
        <f t="shared" si="1"/>
        <v>13995.45</v>
      </c>
      <c r="U13" s="18">
        <f t="shared" si="2"/>
        <v>4858</v>
      </c>
      <c r="V13" s="16">
        <f t="shared" si="3"/>
        <v>2.8809077809798271</v>
      </c>
      <c r="W13" s="6"/>
    </row>
    <row r="14" spans="1:23" x14ac:dyDescent="0.25">
      <c r="A14" s="14" t="s">
        <v>42</v>
      </c>
      <c r="B14" s="15">
        <v>6338</v>
      </c>
      <c r="C14" s="18" t="s">
        <v>62</v>
      </c>
      <c r="D14" s="15">
        <v>10832</v>
      </c>
      <c r="E14" s="15">
        <v>15013</v>
      </c>
      <c r="F14" s="15" t="s">
        <v>62</v>
      </c>
      <c r="G14" s="15">
        <v>19178</v>
      </c>
      <c r="H14" s="15" t="s">
        <v>62</v>
      </c>
      <c r="I14" s="15">
        <v>12741</v>
      </c>
      <c r="J14" s="15" t="s">
        <v>62</v>
      </c>
      <c r="K14" s="15">
        <v>19436</v>
      </c>
      <c r="L14" s="15">
        <v>6256</v>
      </c>
      <c r="M14" s="15" t="s">
        <v>62</v>
      </c>
      <c r="N14" s="15"/>
      <c r="O14" s="15"/>
      <c r="P14" s="15"/>
      <c r="Q14" s="15"/>
      <c r="R14" s="15">
        <f t="shared" si="0"/>
        <v>89794</v>
      </c>
      <c r="S14" s="16">
        <v>0.38</v>
      </c>
      <c r="T14" s="16">
        <f t="shared" si="1"/>
        <v>34121.72</v>
      </c>
      <c r="U14" s="18">
        <f t="shared" si="2"/>
        <v>4858</v>
      </c>
      <c r="V14" s="16">
        <f t="shared" si="3"/>
        <v>7.0238205022643063</v>
      </c>
      <c r="W14" s="6"/>
    </row>
    <row r="15" spans="1:23" x14ac:dyDescent="0.25">
      <c r="A15" s="14" t="s">
        <v>75</v>
      </c>
      <c r="B15" s="18" t="s">
        <v>62</v>
      </c>
      <c r="C15" s="18" t="s">
        <v>62</v>
      </c>
      <c r="D15" s="18" t="s">
        <v>62</v>
      </c>
      <c r="E15" s="18" t="s">
        <v>62</v>
      </c>
      <c r="F15" s="15">
        <v>9</v>
      </c>
      <c r="G15" s="15" t="s">
        <v>62</v>
      </c>
      <c r="H15" s="15">
        <f>4+4</f>
        <v>8</v>
      </c>
      <c r="I15" s="15" t="s">
        <v>62</v>
      </c>
      <c r="J15" s="15" t="s">
        <v>62</v>
      </c>
      <c r="K15" s="15" t="s">
        <v>62</v>
      </c>
      <c r="L15" s="15" t="s">
        <v>62</v>
      </c>
      <c r="M15" s="15" t="s">
        <v>62</v>
      </c>
      <c r="N15" s="15"/>
      <c r="O15" s="15"/>
      <c r="P15" s="15"/>
      <c r="Q15" s="15"/>
      <c r="R15" s="15">
        <f t="shared" si="0"/>
        <v>17</v>
      </c>
      <c r="S15" s="16">
        <v>0.5</v>
      </c>
      <c r="T15" s="16">
        <f t="shared" si="1"/>
        <v>8.5</v>
      </c>
      <c r="U15" s="18">
        <f t="shared" si="2"/>
        <v>4858</v>
      </c>
      <c r="V15" s="16">
        <f t="shared" si="3"/>
        <v>1.7496912309592424E-3</v>
      </c>
      <c r="W15" s="6"/>
    </row>
    <row r="16" spans="1:23" x14ac:dyDescent="0.25">
      <c r="A16" s="14" t="s">
        <v>28</v>
      </c>
      <c r="B16" s="15">
        <v>0</v>
      </c>
      <c r="C16" s="18" t="s">
        <v>62</v>
      </c>
      <c r="D16" s="15">
        <v>0</v>
      </c>
      <c r="E16" s="18" t="s">
        <v>62</v>
      </c>
      <c r="F16" s="15">
        <v>31</v>
      </c>
      <c r="G16" s="15" t="s">
        <v>62</v>
      </c>
      <c r="H16" s="15">
        <f>57+7</f>
        <v>64</v>
      </c>
      <c r="I16" s="15">
        <v>104</v>
      </c>
      <c r="J16" s="15">
        <v>7</v>
      </c>
      <c r="K16" s="15" t="s">
        <v>62</v>
      </c>
      <c r="L16" s="15" t="s">
        <v>62</v>
      </c>
      <c r="M16" s="15">
        <v>57</v>
      </c>
      <c r="N16" s="15"/>
      <c r="O16" s="15"/>
      <c r="P16" s="15"/>
      <c r="Q16" s="15"/>
      <c r="R16" s="15">
        <f t="shared" si="0"/>
        <v>263</v>
      </c>
      <c r="S16" s="16">
        <v>3.5</v>
      </c>
      <c r="T16" s="16">
        <f t="shared" si="1"/>
        <v>920.5</v>
      </c>
      <c r="U16" s="18">
        <f t="shared" si="2"/>
        <v>4858</v>
      </c>
      <c r="V16" s="16">
        <f t="shared" si="3"/>
        <v>0.18948126801152737</v>
      </c>
      <c r="W16" s="6"/>
    </row>
    <row r="17" spans="1:23" x14ac:dyDescent="0.25">
      <c r="A17" s="14" t="s">
        <v>50</v>
      </c>
      <c r="B17" s="15">
        <v>0</v>
      </c>
      <c r="C17" s="18" t="s">
        <v>62</v>
      </c>
      <c r="D17" s="15">
        <v>0</v>
      </c>
      <c r="E17" s="18" t="s">
        <v>62</v>
      </c>
      <c r="F17" s="15">
        <v>9</v>
      </c>
      <c r="G17" s="15" t="s">
        <v>62</v>
      </c>
      <c r="H17" s="15">
        <f>4</f>
        <v>4</v>
      </c>
      <c r="I17" s="15" t="s">
        <v>62</v>
      </c>
      <c r="J17" s="15" t="s">
        <v>62</v>
      </c>
      <c r="K17" s="15" t="s">
        <v>62</v>
      </c>
      <c r="L17" s="15" t="s">
        <v>62</v>
      </c>
      <c r="M17" s="15">
        <v>4</v>
      </c>
      <c r="N17" s="15"/>
      <c r="O17" s="15"/>
      <c r="P17" s="15"/>
      <c r="Q17" s="15"/>
      <c r="R17" s="15">
        <f t="shared" si="0"/>
        <v>17</v>
      </c>
      <c r="S17" s="16">
        <v>3.9</v>
      </c>
      <c r="T17" s="16">
        <f t="shared" si="1"/>
        <v>66.3</v>
      </c>
      <c r="U17" s="18">
        <f t="shared" si="2"/>
        <v>4858</v>
      </c>
      <c r="V17" s="16">
        <f t="shared" si="3"/>
        <v>1.364759160148209E-2</v>
      </c>
      <c r="W17" s="6"/>
    </row>
    <row r="18" spans="1:23" x14ac:dyDescent="0.25">
      <c r="A18" s="14" t="s">
        <v>44</v>
      </c>
      <c r="B18" s="15">
        <v>0</v>
      </c>
      <c r="C18" s="18" t="s">
        <v>62</v>
      </c>
      <c r="D18" s="15">
        <v>0</v>
      </c>
      <c r="E18" s="18" t="s">
        <v>62</v>
      </c>
      <c r="F18" s="15">
        <v>4137</v>
      </c>
      <c r="G18" s="15" t="s">
        <v>62</v>
      </c>
      <c r="H18" s="15">
        <f>2937+1312</f>
        <v>4249</v>
      </c>
      <c r="I18" s="15" t="s">
        <v>62</v>
      </c>
      <c r="J18" s="15">
        <v>1312</v>
      </c>
      <c r="K18" s="15" t="s">
        <v>62</v>
      </c>
      <c r="L18" s="15" t="s">
        <v>62</v>
      </c>
      <c r="M18" s="15">
        <v>3147</v>
      </c>
      <c r="N18" s="15"/>
      <c r="O18" s="15"/>
      <c r="P18" s="15"/>
      <c r="Q18" s="15"/>
      <c r="R18" s="15">
        <f t="shared" si="0"/>
        <v>12845</v>
      </c>
      <c r="S18" s="16">
        <v>7.0000000000000007E-2</v>
      </c>
      <c r="T18" s="16">
        <f t="shared" si="1"/>
        <v>899.15000000000009</v>
      </c>
      <c r="U18" s="18">
        <f t="shared" si="2"/>
        <v>4858</v>
      </c>
      <c r="V18" s="16">
        <f t="shared" si="3"/>
        <v>0.18508645533141213</v>
      </c>
      <c r="W18" s="6"/>
    </row>
    <row r="19" spans="1:23" x14ac:dyDescent="0.25">
      <c r="A19" s="14" t="s">
        <v>22</v>
      </c>
      <c r="B19" s="15">
        <v>0</v>
      </c>
      <c r="C19" s="18" t="s">
        <v>62</v>
      </c>
      <c r="D19" s="15">
        <v>0</v>
      </c>
      <c r="E19" s="18" t="s">
        <v>62</v>
      </c>
      <c r="F19" s="15">
        <v>29420</v>
      </c>
      <c r="G19" s="15" t="s">
        <v>62</v>
      </c>
      <c r="H19" s="15">
        <f>16060+812</f>
        <v>16872</v>
      </c>
      <c r="I19" s="15">
        <v>6081</v>
      </c>
      <c r="J19" s="15">
        <v>10000</v>
      </c>
      <c r="K19" s="15" t="s">
        <v>62</v>
      </c>
      <c r="L19" s="15" t="s">
        <v>62</v>
      </c>
      <c r="M19" s="15">
        <v>25260</v>
      </c>
      <c r="N19" s="15"/>
      <c r="O19" s="15"/>
      <c r="P19" s="15"/>
      <c r="Q19" s="15"/>
      <c r="R19" s="15">
        <f t="shared" si="0"/>
        <v>87633</v>
      </c>
      <c r="S19" s="16">
        <v>0.32</v>
      </c>
      <c r="T19" s="16">
        <f t="shared" si="1"/>
        <v>28042.560000000001</v>
      </c>
      <c r="U19" s="18">
        <f t="shared" si="2"/>
        <v>4858</v>
      </c>
      <c r="V19" s="16">
        <f t="shared" si="3"/>
        <v>5.7724495677233429</v>
      </c>
      <c r="W19" s="6"/>
    </row>
    <row r="20" spans="1:23" x14ac:dyDescent="0.25">
      <c r="A20" s="14" t="s">
        <v>45</v>
      </c>
      <c r="B20" s="15">
        <v>1366</v>
      </c>
      <c r="C20" s="18" t="s">
        <v>62</v>
      </c>
      <c r="D20" s="15">
        <v>5899</v>
      </c>
      <c r="E20" s="15">
        <v>7732</v>
      </c>
      <c r="F20" s="15">
        <v>5749</v>
      </c>
      <c r="G20" s="15">
        <v>7681</v>
      </c>
      <c r="H20" s="15">
        <f>3048</f>
        <v>3048</v>
      </c>
      <c r="I20" s="15" t="s">
        <v>62</v>
      </c>
      <c r="J20" s="15">
        <v>812</v>
      </c>
      <c r="K20" s="15">
        <v>7883</v>
      </c>
      <c r="L20" s="15">
        <v>5067</v>
      </c>
      <c r="M20" s="15">
        <v>4832</v>
      </c>
      <c r="N20" s="15"/>
      <c r="O20" s="15"/>
      <c r="P20" s="15"/>
      <c r="Q20" s="15"/>
      <c r="R20" s="15">
        <f t="shared" si="0"/>
        <v>50069</v>
      </c>
      <c r="S20" s="16">
        <v>0.36</v>
      </c>
      <c r="T20" s="16">
        <f t="shared" si="1"/>
        <v>18024.84</v>
      </c>
      <c r="U20" s="18">
        <f t="shared" si="2"/>
        <v>4858</v>
      </c>
      <c r="V20" s="16">
        <f t="shared" si="3"/>
        <v>3.710341704405105</v>
      </c>
      <c r="W20" s="6"/>
    </row>
    <row r="21" spans="1:23" x14ac:dyDescent="0.25">
      <c r="A21" s="14" t="s">
        <v>18</v>
      </c>
      <c r="B21" s="15">
        <v>121</v>
      </c>
      <c r="C21" s="18" t="s">
        <v>62</v>
      </c>
      <c r="D21" s="15">
        <v>0</v>
      </c>
      <c r="E21" s="15">
        <v>137</v>
      </c>
      <c r="F21" s="15">
        <v>106</v>
      </c>
      <c r="G21" s="15" t="s">
        <v>62</v>
      </c>
      <c r="H21" s="15">
        <f>32</f>
        <v>32</v>
      </c>
      <c r="I21" s="15">
        <v>239</v>
      </c>
      <c r="J21" s="15" t="s">
        <v>62</v>
      </c>
      <c r="K21" s="15">
        <v>159</v>
      </c>
      <c r="L21" s="15" t="s">
        <v>62</v>
      </c>
      <c r="M21" s="15">
        <v>276</v>
      </c>
      <c r="N21" s="15"/>
      <c r="O21" s="15"/>
      <c r="P21" s="15"/>
      <c r="Q21" s="15"/>
      <c r="R21" s="15">
        <f t="shared" si="0"/>
        <v>1070</v>
      </c>
      <c r="S21" s="16">
        <v>1.2</v>
      </c>
      <c r="T21" s="16">
        <f t="shared" si="1"/>
        <v>1284</v>
      </c>
      <c r="U21" s="18">
        <f t="shared" si="2"/>
        <v>4858</v>
      </c>
      <c r="V21" s="16">
        <f t="shared" si="3"/>
        <v>0.26430629888843143</v>
      </c>
      <c r="W21" s="6"/>
    </row>
    <row r="22" spans="1:23" x14ac:dyDescent="0.25">
      <c r="A22" s="14" t="s">
        <v>12</v>
      </c>
      <c r="B22" s="15">
        <v>743</v>
      </c>
      <c r="C22" s="18" t="s">
        <v>62</v>
      </c>
      <c r="D22" s="15">
        <v>2257</v>
      </c>
      <c r="E22" s="15">
        <v>2235</v>
      </c>
      <c r="F22" s="15">
        <v>2346</v>
      </c>
      <c r="G22" s="15" t="s">
        <v>62</v>
      </c>
      <c r="H22" s="15">
        <f>1980+478</f>
        <v>2458</v>
      </c>
      <c r="I22" s="15">
        <v>3282</v>
      </c>
      <c r="J22" s="15">
        <v>478</v>
      </c>
      <c r="K22" s="15">
        <v>3037</v>
      </c>
      <c r="L22" s="15">
        <v>1234</v>
      </c>
      <c r="M22" s="15">
        <v>1673</v>
      </c>
      <c r="N22" s="15"/>
      <c r="O22" s="15"/>
      <c r="P22" s="15"/>
      <c r="Q22" s="15"/>
      <c r="R22" s="15">
        <f t="shared" si="0"/>
        <v>19743</v>
      </c>
      <c r="S22" s="16">
        <v>0.75</v>
      </c>
      <c r="T22" s="16">
        <f t="shared" si="1"/>
        <v>14807.25</v>
      </c>
      <c r="U22" s="18">
        <f t="shared" si="2"/>
        <v>4858</v>
      </c>
      <c r="V22" s="16">
        <f t="shared" si="3"/>
        <v>3.0480135858377935</v>
      </c>
      <c r="W22" s="6"/>
    </row>
    <row r="23" spans="1:23" x14ac:dyDescent="0.25">
      <c r="A23" s="14" t="s">
        <v>53</v>
      </c>
      <c r="B23" s="15">
        <v>0</v>
      </c>
      <c r="C23" s="18" t="s">
        <v>62</v>
      </c>
      <c r="D23" s="15">
        <v>0</v>
      </c>
      <c r="E23" s="18" t="s">
        <v>62</v>
      </c>
      <c r="F23" s="15" t="s">
        <v>62</v>
      </c>
      <c r="G23" s="15" t="s">
        <v>62</v>
      </c>
      <c r="H23" s="15" t="s">
        <v>62</v>
      </c>
      <c r="I23" s="15" t="s">
        <v>62</v>
      </c>
      <c r="J23" s="15" t="s">
        <v>62</v>
      </c>
      <c r="K23" s="15" t="s">
        <v>62</v>
      </c>
      <c r="L23" s="15" t="s">
        <v>62</v>
      </c>
      <c r="M23" s="15" t="s">
        <v>62</v>
      </c>
      <c r="N23" s="15"/>
      <c r="O23" s="15"/>
      <c r="P23" s="15"/>
      <c r="Q23" s="15"/>
      <c r="R23" s="15">
        <f t="shared" si="0"/>
        <v>0</v>
      </c>
      <c r="S23" s="16">
        <v>0.75</v>
      </c>
      <c r="T23" s="16">
        <f t="shared" si="1"/>
        <v>0</v>
      </c>
      <c r="U23" s="18">
        <f t="shared" si="2"/>
        <v>4858</v>
      </c>
      <c r="V23" s="16">
        <f t="shared" si="3"/>
        <v>0</v>
      </c>
      <c r="W23" s="6"/>
    </row>
    <row r="24" spans="1:23" x14ac:dyDescent="0.25">
      <c r="A24" s="14" t="s">
        <v>52</v>
      </c>
      <c r="B24" s="15">
        <v>0</v>
      </c>
      <c r="C24" s="18" t="s">
        <v>62</v>
      </c>
      <c r="D24" s="15">
        <v>0</v>
      </c>
      <c r="E24" s="18" t="s">
        <v>62</v>
      </c>
      <c r="F24" s="15" t="s">
        <v>62</v>
      </c>
      <c r="G24" s="15" t="s">
        <v>62</v>
      </c>
      <c r="H24" s="15" t="s">
        <v>62</v>
      </c>
      <c r="I24" s="15" t="s">
        <v>62</v>
      </c>
      <c r="J24" s="15" t="s">
        <v>62</v>
      </c>
      <c r="K24" s="15" t="s">
        <v>62</v>
      </c>
      <c r="L24" s="15" t="s">
        <v>62</v>
      </c>
      <c r="M24" s="15" t="s">
        <v>62</v>
      </c>
      <c r="N24" s="15"/>
      <c r="O24" s="15"/>
      <c r="P24" s="15"/>
      <c r="Q24" s="15"/>
      <c r="R24" s="15">
        <f t="shared" si="0"/>
        <v>0</v>
      </c>
      <c r="S24" s="16">
        <v>0.36</v>
      </c>
      <c r="T24" s="16">
        <f t="shared" si="1"/>
        <v>0</v>
      </c>
      <c r="U24" s="18">
        <f t="shared" si="2"/>
        <v>4858</v>
      </c>
      <c r="V24" s="16">
        <f t="shared" si="3"/>
        <v>0</v>
      </c>
      <c r="W24" s="6"/>
    </row>
    <row r="25" spans="1:23" x14ac:dyDescent="0.25">
      <c r="A25" s="14" t="s">
        <v>11</v>
      </c>
      <c r="B25" s="15">
        <v>0</v>
      </c>
      <c r="C25" s="18" t="s">
        <v>62</v>
      </c>
      <c r="D25" s="15">
        <v>378</v>
      </c>
      <c r="E25" s="15">
        <v>374</v>
      </c>
      <c r="F25" s="15">
        <v>1489</v>
      </c>
      <c r="G25" s="15">
        <v>287</v>
      </c>
      <c r="H25" s="15">
        <f>209+55</f>
        <v>264</v>
      </c>
      <c r="I25" s="15">
        <v>140</v>
      </c>
      <c r="J25" s="15">
        <v>55</v>
      </c>
      <c r="K25" s="15">
        <v>142</v>
      </c>
      <c r="L25" s="15" t="s">
        <v>62</v>
      </c>
      <c r="M25" s="15">
        <v>237</v>
      </c>
      <c r="N25" s="15"/>
      <c r="O25" s="15"/>
      <c r="P25" s="15"/>
      <c r="Q25" s="15"/>
      <c r="R25" s="15">
        <f t="shared" si="0"/>
        <v>3366</v>
      </c>
      <c r="S25" s="16">
        <v>0.5</v>
      </c>
      <c r="T25" s="16">
        <f t="shared" si="1"/>
        <v>1683</v>
      </c>
      <c r="U25" s="18">
        <f t="shared" si="2"/>
        <v>4858</v>
      </c>
      <c r="V25" s="16">
        <f t="shared" si="3"/>
        <v>0.34643886372992999</v>
      </c>
      <c r="W25" s="6"/>
    </row>
    <row r="26" spans="1:23" x14ac:dyDescent="0.25">
      <c r="A26" s="14" t="s">
        <v>7</v>
      </c>
      <c r="B26" s="15">
        <v>0</v>
      </c>
      <c r="C26" s="18" t="s">
        <v>62</v>
      </c>
      <c r="D26" s="15">
        <v>90</v>
      </c>
      <c r="E26" s="15">
        <v>68</v>
      </c>
      <c r="F26" s="15" t="s">
        <v>62</v>
      </c>
      <c r="G26" s="15">
        <v>27</v>
      </c>
      <c r="H26" s="15">
        <f>46</f>
        <v>46</v>
      </c>
      <c r="I26" s="15">
        <v>141</v>
      </c>
      <c r="J26" s="15" t="s">
        <v>62</v>
      </c>
      <c r="K26" s="15">
        <v>45</v>
      </c>
      <c r="L26" s="15">
        <v>74</v>
      </c>
      <c r="M26" s="15">
        <v>35</v>
      </c>
      <c r="N26" s="15"/>
      <c r="O26" s="15"/>
      <c r="P26" s="15"/>
      <c r="Q26" s="15"/>
      <c r="R26" s="15">
        <f t="shared" si="0"/>
        <v>526</v>
      </c>
      <c r="S26" s="16">
        <v>1.8</v>
      </c>
      <c r="T26" s="16">
        <f t="shared" si="1"/>
        <v>946.80000000000007</v>
      </c>
      <c r="U26" s="18">
        <f t="shared" si="2"/>
        <v>4858</v>
      </c>
      <c r="V26" s="16">
        <f t="shared" si="3"/>
        <v>0.19489501852614247</v>
      </c>
      <c r="W26" s="6"/>
    </row>
    <row r="27" spans="1:23" x14ac:dyDescent="0.25">
      <c r="A27" s="14" t="s">
        <v>17</v>
      </c>
      <c r="B27" s="15">
        <v>71</v>
      </c>
      <c r="C27" s="18" t="s">
        <v>62</v>
      </c>
      <c r="D27" s="15">
        <v>0</v>
      </c>
      <c r="E27" s="18">
        <v>2235</v>
      </c>
      <c r="F27" s="15">
        <v>11</v>
      </c>
      <c r="G27" s="18">
        <v>92</v>
      </c>
      <c r="H27" s="15">
        <v>5</v>
      </c>
      <c r="I27" s="15" t="s">
        <v>62</v>
      </c>
      <c r="J27" s="15">
        <v>5</v>
      </c>
      <c r="K27" s="15" t="s">
        <v>62</v>
      </c>
      <c r="L27" s="15" t="s">
        <v>62</v>
      </c>
      <c r="M27" s="15">
        <v>81</v>
      </c>
      <c r="N27" s="15"/>
      <c r="O27" s="15"/>
      <c r="P27" s="15"/>
      <c r="Q27" s="15"/>
      <c r="R27" s="15">
        <f t="shared" si="0"/>
        <v>2500</v>
      </c>
      <c r="S27" s="16">
        <v>3.25</v>
      </c>
      <c r="T27" s="16">
        <f t="shared" si="1"/>
        <v>8125</v>
      </c>
      <c r="U27" s="18">
        <f t="shared" si="2"/>
        <v>4858</v>
      </c>
      <c r="V27" s="16">
        <f t="shared" si="3"/>
        <v>1.6724989707698641</v>
      </c>
      <c r="W27" s="6"/>
    </row>
    <row r="28" spans="1:23" x14ac:dyDescent="0.25">
      <c r="A28" s="14"/>
      <c r="B28" s="15">
        <f t="shared" ref="B28:J28" si="4">SUM(B3:B27)</f>
        <v>9409</v>
      </c>
      <c r="C28" s="15">
        <f t="shared" si="4"/>
        <v>0</v>
      </c>
      <c r="D28" s="15">
        <f t="shared" si="4"/>
        <v>29521</v>
      </c>
      <c r="E28" s="15">
        <f t="shared" si="4"/>
        <v>41961</v>
      </c>
      <c r="F28" s="15">
        <f t="shared" si="4"/>
        <v>48204</v>
      </c>
      <c r="G28" s="15">
        <f t="shared" si="4"/>
        <v>34573</v>
      </c>
      <c r="H28" s="15">
        <f t="shared" si="4"/>
        <v>29649</v>
      </c>
      <c r="I28" s="15">
        <f t="shared" si="4"/>
        <v>27504</v>
      </c>
      <c r="J28" s="15">
        <f t="shared" si="4"/>
        <v>13358</v>
      </c>
      <c r="K28" s="15">
        <f>SUM(K3:K27)</f>
        <v>37803</v>
      </c>
      <c r="L28" s="15">
        <f>SUM(L3:L27)</f>
        <v>22245</v>
      </c>
      <c r="M28" s="15">
        <f>SUM(M3:M27)</f>
        <v>39734</v>
      </c>
      <c r="N28" s="15">
        <f>SUM(N3:N27)</f>
        <v>0</v>
      </c>
      <c r="O28" s="15"/>
      <c r="P28" s="15">
        <f>SUM(P3:P27)</f>
        <v>0</v>
      </c>
      <c r="Q28" s="15">
        <f>SUM(Q4:Q27)</f>
        <v>0</v>
      </c>
      <c r="R28" s="15">
        <f>SUM(R3:R27)</f>
        <v>333961</v>
      </c>
      <c r="S28" s="16">
        <f>T28/R28</f>
        <v>0.43264228457813925</v>
      </c>
      <c r="T28" s="43">
        <f>SUM(T3:T27)</f>
        <v>144485.64999999997</v>
      </c>
      <c r="U28" s="18">
        <f t="shared" si="2"/>
        <v>4858</v>
      </c>
      <c r="V28" s="16">
        <f t="shared" si="3"/>
        <v>29.7417970358172</v>
      </c>
      <c r="W28" s="7"/>
    </row>
    <row r="29" spans="1:23" x14ac:dyDescent="0.25">
      <c r="A29" s="26" t="s">
        <v>59</v>
      </c>
      <c r="B29" s="27">
        <f>4068.59+578.4</f>
        <v>4646.99</v>
      </c>
      <c r="C29" s="23"/>
      <c r="D29" s="24">
        <f>1985.91+16328.7</f>
        <v>18314.61</v>
      </c>
      <c r="E29" s="24">
        <f>1942.81+20505.64</f>
        <v>22448.45</v>
      </c>
      <c r="F29" s="24">
        <v>29744.34</v>
      </c>
      <c r="G29" s="24">
        <f>18893.25+2235.4</f>
        <v>21128.65</v>
      </c>
      <c r="H29" s="24">
        <v>16015.05</v>
      </c>
      <c r="I29" s="45">
        <f>14269.16+2932.66</f>
        <v>17201.82</v>
      </c>
      <c r="J29" s="45">
        <v>10165.120000000001</v>
      </c>
      <c r="K29" s="45">
        <f>18441.62+2622.75</f>
        <v>21064.37</v>
      </c>
      <c r="L29" s="45">
        <f>11248.5+1042.5</f>
        <v>12291</v>
      </c>
      <c r="M29" s="45">
        <f>22319.21+1475.68</f>
        <v>23794.89</v>
      </c>
      <c r="N29" s="23"/>
      <c r="O29" s="23"/>
      <c r="P29" s="23"/>
      <c r="Q29" s="23"/>
      <c r="R29" s="39">
        <f>SUM(B29:Q29)</f>
        <v>196815.28999999998</v>
      </c>
      <c r="S29" s="29"/>
      <c r="T29" s="29" t="s">
        <v>63</v>
      </c>
      <c r="U29" s="25"/>
      <c r="V29" s="24"/>
      <c r="W29" s="7"/>
    </row>
    <row r="30" spans="1:23" x14ac:dyDescent="0.25">
      <c r="A30" s="26" t="s">
        <v>60</v>
      </c>
      <c r="B30" s="24">
        <f>B29/B28</f>
        <v>0.49388776703156551</v>
      </c>
      <c r="C30" s="23"/>
      <c r="D30" s="24">
        <f>D29/D28</f>
        <v>0.62039260187663026</v>
      </c>
      <c r="E30" s="24">
        <f>E29/E28</f>
        <v>0.53498367531755675</v>
      </c>
      <c r="F30" s="24">
        <f>F29/F28</f>
        <v>0.61705128205128201</v>
      </c>
      <c r="G30" s="24">
        <f>G29/G28</f>
        <v>0.61113151881526051</v>
      </c>
      <c r="H30" s="24">
        <f>H29/H28</f>
        <v>0.54015481129211773</v>
      </c>
      <c r="I30" s="24">
        <f t="shared" ref="I30:M30" si="5">I29/I28</f>
        <v>0.62542975567190229</v>
      </c>
      <c r="J30" s="24">
        <f t="shared" si="5"/>
        <v>0.76097619404102412</v>
      </c>
      <c r="K30" s="24">
        <f t="shared" si="5"/>
        <v>0.55721424225590555</v>
      </c>
      <c r="L30" s="24">
        <f t="shared" si="5"/>
        <v>0.5525286581254214</v>
      </c>
      <c r="M30" s="24">
        <f t="shared" si="5"/>
        <v>0.59885463331152156</v>
      </c>
      <c r="N30" s="23"/>
      <c r="O30" s="23"/>
      <c r="P30" s="23"/>
      <c r="Q30" s="23"/>
      <c r="R30" s="40" t="s">
        <v>81</v>
      </c>
      <c r="S30" s="29"/>
      <c r="T30" s="29" t="s">
        <v>64</v>
      </c>
      <c r="U30" s="25"/>
      <c r="V30" s="24"/>
      <c r="W30" s="7"/>
    </row>
    <row r="31" spans="1:23" x14ac:dyDescent="0.25">
      <c r="M31"/>
      <c r="N31" s="4"/>
      <c r="O31" s="4"/>
      <c r="R31" s="41" t="s">
        <v>82</v>
      </c>
      <c r="S31" s="30"/>
      <c r="T31" s="30" t="s">
        <v>65</v>
      </c>
    </row>
    <row r="32" spans="1:23" x14ac:dyDescent="0.25">
      <c r="A32" t="s">
        <v>76</v>
      </c>
      <c r="B32" s="5">
        <v>705</v>
      </c>
      <c r="H32" s="44"/>
      <c r="M32"/>
      <c r="N32" s="4"/>
      <c r="O32" s="4"/>
      <c r="R32" s="42" t="s">
        <v>83</v>
      </c>
      <c r="S32" s="30"/>
      <c r="T32" s="30" t="s">
        <v>66</v>
      </c>
    </row>
    <row r="33" spans="1:20" x14ac:dyDescent="0.25">
      <c r="A33" t="s">
        <v>77</v>
      </c>
      <c r="B33" s="5">
        <v>351</v>
      </c>
      <c r="H33" s="44"/>
      <c r="M33"/>
      <c r="N33" s="4"/>
      <c r="O33" s="4"/>
      <c r="R33" s="42" t="s">
        <v>84</v>
      </c>
      <c r="S33" s="30"/>
      <c r="T33" s="30" t="s">
        <v>67</v>
      </c>
    </row>
    <row r="34" spans="1:20" x14ac:dyDescent="0.25">
      <c r="A34" t="s">
        <v>78</v>
      </c>
      <c r="B34" s="5">
        <v>112</v>
      </c>
      <c r="H34" s="44"/>
      <c r="M34"/>
      <c r="N34" s="4"/>
      <c r="O34" s="4"/>
      <c r="R34" s="42"/>
      <c r="S34" s="30"/>
      <c r="T34" s="30" t="s">
        <v>68</v>
      </c>
    </row>
    <row r="35" spans="1:20" x14ac:dyDescent="0.25">
      <c r="A35" t="s">
        <v>79</v>
      </c>
      <c r="B35" s="5">
        <v>530</v>
      </c>
      <c r="F35" s="8"/>
      <c r="H35" s="44"/>
      <c r="I35" s="9"/>
      <c r="J35" s="9"/>
      <c r="M35" s="10"/>
      <c r="R35" s="4"/>
      <c r="S35" s="30"/>
      <c r="T35" s="30" t="s">
        <v>69</v>
      </c>
    </row>
    <row r="36" spans="1:20" x14ac:dyDescent="0.25">
      <c r="A36" t="s">
        <v>80</v>
      </c>
      <c r="B36" s="5">
        <v>700</v>
      </c>
      <c r="H36" s="44"/>
      <c r="R36" s="4"/>
      <c r="S36" s="30"/>
      <c r="T36" s="30" t="s">
        <v>71</v>
      </c>
    </row>
    <row r="37" spans="1:20" x14ac:dyDescent="0.25">
      <c r="B37" s="4">
        <f>SUM(B32:B36)</f>
        <v>2398</v>
      </c>
      <c r="H37" s="44"/>
      <c r="R37" s="4"/>
      <c r="S37" s="30"/>
      <c r="T37" s="30" t="s">
        <v>70</v>
      </c>
    </row>
    <row r="38" spans="1:20" x14ac:dyDescent="0.25">
      <c r="R38" s="4"/>
      <c r="S38" s="30"/>
      <c r="T38" s="30" t="s">
        <v>72</v>
      </c>
    </row>
    <row r="39" spans="1:20" x14ac:dyDescent="0.25">
      <c r="A39" t="s">
        <v>61</v>
      </c>
      <c r="R39" s="4"/>
    </row>
    <row r="40" spans="1:20" x14ac:dyDescent="0.25">
      <c r="R40" s="4"/>
    </row>
  </sheetData>
  <sortState ref="A1:E36">
    <sortCondition ref="A1:A36"/>
  </sortState>
  <mergeCells count="5">
    <mergeCell ref="L1:M1"/>
    <mergeCell ref="N1:O1"/>
    <mergeCell ref="E1:F1"/>
    <mergeCell ref="G1:H1"/>
    <mergeCell ref="I1:J1"/>
  </mergeCells>
  <pageMargins left="0.7" right="0.7" top="0.75" bottom="0.7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Feb 2016</vt:lpstr>
      <vt:lpstr>March 2016</vt:lpstr>
      <vt:lpstr>April 2016</vt:lpstr>
      <vt:lpstr>May 2016</vt:lpstr>
      <vt:lpstr>June 2016</vt:lpstr>
      <vt:lpstr>July 2016</vt:lpstr>
      <vt:lpstr>Aug 2016</vt:lpstr>
      <vt:lpstr>Sept 2016</vt:lpstr>
      <vt:lpstr>Oct 2016</vt:lpstr>
      <vt:lpstr>Summary</vt:lpstr>
    </vt:vector>
  </TitlesOfParts>
  <Company>Washtenaw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County User</dc:creator>
  <cp:lastModifiedBy>County User</cp:lastModifiedBy>
  <cp:lastPrinted>2017-09-13T14:30:38Z</cp:lastPrinted>
  <dcterms:created xsi:type="dcterms:W3CDTF">2016-07-05T20:13:36Z</dcterms:created>
  <dcterms:modified xsi:type="dcterms:W3CDTF">2017-11-01T18:28:08Z</dcterms:modified>
</cp:coreProperties>
</file>